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bc4383e54bc29c3/Dokumente/Desktop/VARYFY/Webinare/"/>
    </mc:Choice>
  </mc:AlternateContent>
  <xr:revisionPtr revIDLastSave="0" documentId="8_{226965E0-DAF1-448F-9515-1B5356D447D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oken-Kostenrechner" sheetId="1" r:id="rId1"/>
    <sheet name="Modell-Kaskadierung" sheetId="2" r:id="rId2"/>
    <sheet name="TCO-Vergleich" sheetId="3" r:id="rId3"/>
    <sheet name="API vs. Abo vs. Plattform" sheetId="5" r:id="rId4"/>
    <sheet name="Anleitung" sheetId="4" r:id="rId5"/>
  </sheets>
  <definedNames>
    <definedName name="_xlnm.Print_Area" localSheetId="3">'API vs. Abo vs. Plattform'!$A$1:$I$84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5" l="1"/>
  <c r="G56" i="5"/>
  <c r="C56" i="5"/>
  <c r="H55" i="5"/>
  <c r="G55" i="5"/>
  <c r="C55" i="5"/>
  <c r="H54" i="5"/>
  <c r="G54" i="5"/>
  <c r="H53" i="5"/>
  <c r="G53" i="5"/>
  <c r="D47" i="5"/>
  <c r="C45" i="5"/>
  <c r="D45" i="5" s="1"/>
  <c r="C44" i="5"/>
  <c r="D44" i="5" s="1"/>
  <c r="C43" i="5"/>
  <c r="C42" i="5"/>
  <c r="C30" i="5"/>
  <c r="D30" i="5" s="1"/>
  <c r="C29" i="5"/>
  <c r="D29" i="5" s="1"/>
  <c r="C28" i="5"/>
  <c r="D28" i="5" s="1"/>
  <c r="C26" i="5"/>
  <c r="D26" i="5" s="1"/>
  <c r="C25" i="5"/>
  <c r="D25" i="5" s="1"/>
  <c r="C24" i="5"/>
  <c r="D24" i="5" s="1"/>
  <c r="C21" i="5"/>
  <c r="D21" i="5" s="1"/>
  <c r="C20" i="5"/>
  <c r="D20" i="5" s="1"/>
  <c r="B15" i="5"/>
  <c r="C12" i="5"/>
  <c r="B12" i="5"/>
  <c r="D18" i="3"/>
  <c r="D22" i="3" s="1"/>
  <c r="C18" i="3"/>
  <c r="C22" i="3" s="1"/>
  <c r="B18" i="3"/>
  <c r="B22" i="3" s="1"/>
  <c r="D9" i="3"/>
  <c r="D21" i="3" s="1"/>
  <c r="D23" i="3" s="1"/>
  <c r="C9" i="3"/>
  <c r="C21" i="3" s="1"/>
  <c r="C23" i="3" s="1"/>
  <c r="B9" i="3"/>
  <c r="B21" i="3" s="1"/>
  <c r="B23" i="3" s="1"/>
  <c r="C26" i="2"/>
  <c r="D26" i="2" s="1"/>
  <c r="E26" i="2" s="1"/>
  <c r="C25" i="2"/>
  <c r="D25" i="2" s="1"/>
  <c r="E25" i="2" s="1"/>
  <c r="B14" i="2"/>
  <c r="B12" i="2"/>
  <c r="B8" i="2"/>
  <c r="B11" i="1"/>
  <c r="B9" i="1"/>
  <c r="B13" i="2" s="1"/>
  <c r="B11" i="2" l="1"/>
  <c r="E33" i="1"/>
  <c r="F33" i="1" s="1"/>
  <c r="G33" i="1" s="1"/>
  <c r="E32" i="1"/>
  <c r="F32" i="1" s="1"/>
  <c r="G32" i="1" s="1"/>
  <c r="E31" i="1"/>
  <c r="F31" i="1" s="1"/>
  <c r="E30" i="1"/>
  <c r="F30" i="1" s="1"/>
  <c r="E29" i="1"/>
  <c r="F29" i="1" s="1"/>
  <c r="G29" i="1" s="1"/>
  <c r="E28" i="1"/>
  <c r="F28" i="1" s="1"/>
  <c r="G28" i="1" s="1"/>
  <c r="E27" i="1"/>
  <c r="F27" i="1" s="1"/>
  <c r="G27" i="1" s="1"/>
  <c r="E26" i="1"/>
  <c r="F26" i="1" s="1"/>
  <c r="E25" i="1"/>
  <c r="F25" i="1" s="1"/>
  <c r="G25" i="1" s="1"/>
  <c r="E24" i="1"/>
  <c r="F24" i="1" s="1"/>
  <c r="E23" i="1"/>
  <c r="F23" i="1" s="1"/>
  <c r="G23" i="1" s="1"/>
  <c r="E22" i="1"/>
  <c r="F22" i="1" s="1"/>
  <c r="G22" i="1" s="1"/>
  <c r="E21" i="1"/>
  <c r="F21" i="1" s="1"/>
  <c r="G21" i="1" s="1"/>
  <c r="E20" i="1"/>
  <c r="F20" i="1" s="1"/>
  <c r="G20" i="1" s="1"/>
  <c r="E19" i="1"/>
  <c r="F19" i="1" s="1"/>
  <c r="G19" i="1" s="1"/>
  <c r="E18" i="1"/>
  <c r="F18" i="1" s="1"/>
  <c r="G18" i="1" s="1"/>
  <c r="E17" i="1"/>
  <c r="F17" i="1" s="1"/>
  <c r="G17" i="1" s="1"/>
  <c r="E16" i="1"/>
  <c r="F16" i="1" s="1"/>
  <c r="B12" i="1"/>
  <c r="B27" i="2"/>
  <c r="F26" i="2"/>
  <c r="E47" i="5"/>
  <c r="E45" i="5"/>
  <c r="E44" i="5"/>
  <c r="E43" i="5"/>
  <c r="E42" i="5"/>
  <c r="B13" i="5"/>
  <c r="C54" i="5"/>
  <c r="D42" i="5"/>
  <c r="C53" i="5"/>
  <c r="D43" i="5"/>
  <c r="I53" i="5"/>
  <c r="I54" i="5"/>
  <c r="I55" i="5"/>
  <c r="I56" i="5"/>
  <c r="C40" i="5" l="1"/>
  <c r="C39" i="5"/>
  <c r="C38" i="5"/>
  <c r="C37" i="5"/>
  <c r="C36" i="5"/>
  <c r="B14" i="5"/>
  <c r="B42" i="1"/>
  <c r="G16" i="1"/>
  <c r="B51" i="1"/>
  <c r="G24" i="1"/>
  <c r="C51" i="1" s="1"/>
  <c r="D51" i="1"/>
  <c r="D50" i="1"/>
  <c r="B49" i="1"/>
  <c r="G26" i="1"/>
  <c r="C49" i="1" s="1"/>
  <c r="B50" i="1"/>
  <c r="G30" i="1"/>
  <c r="C50" i="1" s="1"/>
  <c r="B43" i="1"/>
  <c r="G31" i="1"/>
  <c r="C19" i="2"/>
  <c r="D19" i="2" s="1"/>
  <c r="E19" i="2" s="1"/>
  <c r="C18" i="2"/>
  <c r="D18" i="2" s="1"/>
  <c r="E18" i="2" s="1"/>
  <c r="C17" i="2"/>
  <c r="D17" i="2" s="1"/>
  <c r="E17" i="2" s="1"/>
  <c r="B21" i="2" l="1"/>
  <c r="F19" i="2"/>
  <c r="F18" i="2"/>
  <c r="B44" i="1"/>
  <c r="B53" i="5"/>
  <c r="D36" i="5"/>
  <c r="E36" i="5"/>
  <c r="D37" i="5"/>
  <c r="E37" i="5"/>
  <c r="B54" i="5"/>
  <c r="D38" i="5"/>
  <c r="E38" i="5"/>
  <c r="B55" i="5"/>
  <c r="D39" i="5"/>
  <c r="E39" i="5"/>
  <c r="B56" i="5"/>
  <c r="D40" i="5"/>
  <c r="E40" i="5"/>
  <c r="E56" i="5" l="1"/>
  <c r="F56" i="5" s="1"/>
  <c r="D56" i="5"/>
  <c r="E55" i="5"/>
  <c r="F55" i="5" s="1"/>
  <c r="D55" i="5"/>
  <c r="E54" i="5"/>
  <c r="F54" i="5" s="1"/>
  <c r="D54" i="5"/>
  <c r="E53" i="5"/>
  <c r="F53" i="5" s="1"/>
  <c r="D53" i="5"/>
</calcChain>
</file>

<file path=xl/sharedStrings.xml><?xml version="1.0" encoding="utf-8"?>
<sst xmlns="http://schemas.openxmlformats.org/spreadsheetml/2006/main" count="541" uniqueCount="413">
  <si>
    <t>📊 KI-Kostenrechner – VARYFY</t>
  </si>
  <si>
    <t>Token-basierte Kostenberechnung für aktuelle KI-Modelle | Stand: Februar 2026</t>
  </si>
  <si>
    <t>⚠️ Preise ändern sich häufig – vor Verwendung aktuelle Preislisten der Anbieter prüfen!</t>
  </si>
  <si>
    <t>📝 IHRE EINGABEN (gelbe Felder ausfüllen)</t>
  </si>
  <si>
    <t>Anfragen pro Tag</t>
  </si>
  <si>
    <t>← Ihre tägliche Anfragezahl</t>
  </si>
  <si>
    <t>Ø Tokens pro Anfrage (gesamt)</t>
  </si>
  <si>
    <t>← Standard: 1.000 (kurz: 500, lang: 2.000+)</t>
  </si>
  <si>
    <t>Input-Anteil (%)</t>
  </si>
  <si>
    <t>← Standard: 60% Input / 40% Output</t>
  </si>
  <si>
    <t>Output-Anteil (%)</t>
  </si>
  <si>
    <t>← Automatisch berechnet</t>
  </si>
  <si>
    <t>Arbeitstage pro Monat</t>
  </si>
  <si>
    <t>← Standard: 22 Werktage</t>
  </si>
  <si>
    <t>Tokens pro Tag (gesamt)</t>
  </si>
  <si>
    <t>Tokens pro Monat (gesamt)</t>
  </si>
  <si>
    <t>💰 MODELL-PREISVERGLEICH (aktuelle Modelle, Stand Feb. 2026)</t>
  </si>
  <si>
    <t>Modell</t>
  </si>
  <si>
    <t>Anbieter</t>
  </si>
  <si>
    <t>Input $/1M Tok</t>
  </si>
  <si>
    <t>Output $/1M Tok</t>
  </si>
  <si>
    <t>Kosten/Tag ($)</t>
  </si>
  <si>
    <t>Kosten/Monat ($)</t>
  </si>
  <si>
    <t>Kosten/Jahr ($)</t>
  </si>
  <si>
    <t>Kategorie</t>
  </si>
  <si>
    <t>GPT-5-nano</t>
  </si>
  <si>
    <t>OpenAI</t>
  </si>
  <si>
    <t>Budget</t>
  </si>
  <si>
    <t>GPT-5-mini</t>
  </si>
  <si>
    <t>Haiku 3.5</t>
  </si>
  <si>
    <t>Anthropic</t>
  </si>
  <si>
    <t>Haiku 4.5</t>
  </si>
  <si>
    <t>Gemini 2.5 Flash</t>
  </si>
  <si>
    <t>Google</t>
  </si>
  <si>
    <t>Gemini 2.5 Flash-Lite</t>
  </si>
  <si>
    <t>GPT-5</t>
  </si>
  <si>
    <t>Standard</t>
  </si>
  <si>
    <t>GPT-5.1</t>
  </si>
  <si>
    <t>GPT-5.2</t>
  </si>
  <si>
    <t>Sonnet 4</t>
  </si>
  <si>
    <t>Sonnet 4.5</t>
  </si>
  <si>
    <t>Gemini 2.5 Pro</t>
  </si>
  <si>
    <t>Gemini 3 Pro (Preview)</t>
  </si>
  <si>
    <t>Opus 4.5</t>
  </si>
  <si>
    <t>Premium</t>
  </si>
  <si>
    <t>Opus 4.6</t>
  </si>
  <si>
    <t>GPT-5.2 Pro</t>
  </si>
  <si>
    <t>o3</t>
  </si>
  <si>
    <t>Reasoning</t>
  </si>
  <si>
    <t>o4-mini</t>
  </si>
  <si>
    <t>MS 365 Copilot</t>
  </si>
  <si>
    <t>Microsoft</t>
  </si>
  <si>
    <t>Pauschal</t>
  </si>
  <si>
    <t>—</t>
  </si>
  <si>
    <t>Plattform</t>
  </si>
  <si>
    <t>Langdock (Sonnet 4.5)</t>
  </si>
  <si>
    <t>Langdock</t>
  </si>
  <si>
    <t>~1.500+</t>
  </si>
  <si>
    <t>~18.000+</t>
  </si>
  <si>
    <t>📌 Quellen: platform.openai.com/docs/pricing | platform.claude.com/docs/en/about-claude/pricing | ai.google.dev/gemini-api/docs/pricing</t>
  </si>
  <si>
    <t>📌 MS 365 Copilot: $30/User/Monat (+ M365-Lizenz erforderlich). Langdock: EU-gehostete Plattform, Preis je nach Paket.</t>
  </si>
  <si>
    <t>📌 OpenAI Standard-Tier-Preise. Batch-API: 50% günstiger. Cached Input: bis 90% günstiger. Reasoning-Tokens werden als Output berechnet.</t>
  </si>
  <si>
    <t>📊 KOSTENFAKTOR-VERGLEICH (Token-basierte Modelle)</t>
  </si>
  <si>
    <t>🟢 Günstigstes Modell (GPT-5-nano)</t>
  </si>
  <si>
    <t>🔴 Teuerstes Modell (GPT-5.2 Pro)</t>
  </si>
  <si>
    <t>⚡ Kostenfaktor (teuerste ÷ günstigste)</t>
  </si>
  <si>
    <t>→ Die Wahl des richtigen Modells kann die Kosten um diesen Faktor verändern – bei gleicher Aufgabe!</t>
  </si>
  <si>
    <t>🔍 PRAXIS-VERGLEICH: Opus 4.6 vs. Sonnet 4.5 vs. GPT-5.2</t>
  </si>
  <si>
    <t>Kosten/Monat</t>
  </si>
  <si>
    <t>Kosten/Jahr</t>
  </si>
  <si>
    <t>vs. Sonnet 4.5</t>
  </si>
  <si>
    <t>Sonnet 4.5 (Anthropic)</t>
  </si>
  <si>
    <t>Referenz</t>
  </si>
  <si>
    <t>Opus 4.6 (Anthropic)</t>
  </si>
  <si>
    <t>GPT-5.2 (OpenAI)</t>
  </si>
  <si>
    <t>🔀 MODELL-KASKADIERUNG – Intelligente Kostenoptimierung</t>
  </si>
  <si>
    <t>Strategie: Einfache Anfragen → günstiges Modell | Komplexe → leistungsstarkes Modell</t>
  </si>
  <si>
    <t>📝 KASKADIERUNGS-PARAMETER</t>
  </si>
  <si>
    <t>Anteil einfache Anfragen (→ Haiku 4.5)</t>
  </si>
  <si>
    <t>← z.B. FAQ, Zusammenfassungen, Klassifikation</t>
  </si>
  <si>
    <t>Anteil mittlere Anfragen (→ Sonnet 4.5)</t>
  </si>
  <si>
    <t>← z.B. Analyse, Berichterstellung, Coding</t>
  </si>
  <si>
    <t>Anteil komplexe Anfragen (→ Opus 4.6)</t>
  </si>
  <si>
    <t>← z.B. Rechtsanalyse, Architektur, Deep Research</t>
  </si>
  <si>
    <t>Summe (muss 100% ergeben)</t>
  </si>
  <si>
    <t>← Muss 100% sein!</t>
  </si>
  <si>
    <t>📊 VERGLEICH: MIT vs. OHNE KASKADIERUNG (Anthropic-Modelle)</t>
  </si>
  <si>
    <t>Tokens pro Tag (aus Sheet 1)</t>
  </si>
  <si>
    <t>Input-Anteil</t>
  </si>
  <si>
    <t>Output-Anteil</t>
  </si>
  <si>
    <t>Arbeitstage/Monat</t>
  </si>
  <si>
    <t>Szenario</t>
  </si>
  <si>
    <t>Modell(e)</t>
  </si>
  <si>
    <t>Ersparnis vs. Einheitsmodell</t>
  </si>
  <si>
    <t>❌ OHNE Kaskadierung</t>
  </si>
  <si>
    <t>Sonnet 4.5 für alles</t>
  </si>
  <si>
    <t>✅ MIT Kaskadierung</t>
  </si>
  <si>
    <t>Haiku 4.5 + Sonnet 4.5
+ Opus 4.6</t>
  </si>
  <si>
    <t>✅ MIT Kaskadierung (OpenAI)</t>
  </si>
  <si>
    <t>GPT-5-mini + GPT-5.2
+ GPT-5.2 Pro</t>
  </si>
  <si>
    <t>💰 JÄHRLICHE ERSPARNIS (Anthropic-Kaskade)</t>
  </si>
  <si>
    <t>🏢 SKALIERUNGSBEISPIEL: Enterprise (5.000 Anfragen/Tag, 1.500 Tokens/Anfrage)</t>
  </si>
  <si>
    <t>Ersparnis</t>
  </si>
  <si>
    <t>Enterprise OHNE Kaskadierung</t>
  </si>
  <si>
    <t>Enterprise MIT Kaskadierung</t>
  </si>
  <si>
    <t>💰 Enterprise-Ersparnis/Jahr</t>
  </si>
  <si>
    <t>💡 Tipp: n8n-Workflow kann Anfragen automatisch nach Komplexität routen (siehe n8n-Templates).</t>
  </si>
  <si>
    <t>🏗️ TCO-VERGLEICH: Betriebsmodelle für KI-Systeme</t>
  </si>
  <si>
    <t>Total Cost of Ownership über 12 Monate | Alle Angaben in EUR</t>
  </si>
  <si>
    <t>Kostenposition</t>
  </si>
  <si>
    <t>Cloud API
(OpenAI / Anthropic)</t>
  </si>
  <si>
    <t>EU-Plattform
(Langdock / Azure EU)</t>
  </si>
  <si>
    <t>Self-Hosted
(n8n + vLLM / Ollama)</t>
  </si>
  <si>
    <t>Anmerkungen</t>
  </si>
  <si>
    <t>EINMALIGE KOSTEN</t>
  </si>
  <si>
    <t>Setup &amp; Integration</t>
  </si>
  <si>
    <t>Self-Host: Server, GPU, Installation</t>
  </si>
  <si>
    <t>Schulung Team</t>
  </si>
  <si>
    <t>Self-Host: Admin-Schulung nötig</t>
  </si>
  <si>
    <t>Rechtsberatung (DSGVO/AI Act)</t>
  </si>
  <si>
    <t>Self-Host: eigene DSFA nötig</t>
  </si>
  <si>
    <t>Summe Einmalkosten</t>
  </si>
  <si>
    <t>LAUFENDE KOSTEN (pro Monat)</t>
  </si>
  <si>
    <t>API/Token-Kosten (Sonnet 4.5-Niveau)</t>
  </si>
  <si>
    <t>Self-Host: in Infrastruktur enthalten</t>
  </si>
  <si>
    <t>Lizenzkosten Plattform</t>
  </si>
  <si>
    <t>Langdock: ab ~1.500 €/Monat</t>
  </si>
  <si>
    <t>Infrastruktur (Server/GPU)</t>
  </si>
  <si>
    <t>GPU-Server: ca. 4.000 €/Monat</t>
  </si>
  <si>
    <t>Personal (anteilig Admin/DevOps)</t>
  </si>
  <si>
    <t>Self-Host: ~0,5 FTE DevOps</t>
  </si>
  <si>
    <t>Monitoring &amp; Logging</t>
  </si>
  <si>
    <t>Bei Langdock inkludiert</t>
  </si>
  <si>
    <t>Backup &amp; Disaster Recovery</t>
  </si>
  <si>
    <t>Summe laufende Kosten/Monat</t>
  </si>
  <si>
    <t>JAHRESKOSTEN (12 Monate)</t>
  </si>
  <si>
    <t>Einmalkosten</t>
  </si>
  <si>
    <t>Laufende Kosten × 12</t>
  </si>
  <si>
    <t>🏆 TOTAL (12 Monate)</t>
  </si>
  <si>
    <t>⚖️ QUALITATIVE BEWERTUNG</t>
  </si>
  <si>
    <t>Kriterium</t>
  </si>
  <si>
    <t>Cloud API</t>
  </si>
  <si>
    <t>EU-Plattform</t>
  </si>
  <si>
    <t>Self-Hosted</t>
  </si>
  <si>
    <t>Gewichtung</t>
  </si>
  <si>
    <t>Datenhoheit / DSGVO</t>
  </si>
  <si>
    <t>⚠️ Gering</t>
  </si>
  <si>
    <t>✅ Hoch</t>
  </si>
  <si>
    <t>✅ Vollständig</t>
  </si>
  <si>
    <t>Hoch</t>
  </si>
  <si>
    <t>Drittlandstransfer-Risiko</t>
  </si>
  <si>
    <t>🔴 Hoch (USA)</t>
  </si>
  <si>
    <t>🟢 Gering (EU)</t>
  </si>
  <si>
    <t>🟢 Kein</t>
  </si>
  <si>
    <t>Vendor Lock-in</t>
  </si>
  <si>
    <t>🔴 Hoch</t>
  </si>
  <si>
    <t>🟡 Mittel</t>
  </si>
  <si>
    <t>🟢 Gering</t>
  </si>
  <si>
    <t>Mittel</t>
  </si>
  <si>
    <t>Setup-Geschwindigkeit</t>
  </si>
  <si>
    <t>🟢 Minuten</t>
  </si>
  <si>
    <t>🟡 Tage</t>
  </si>
  <si>
    <t>🔴 Wochen</t>
  </si>
  <si>
    <t>Niedrig</t>
  </si>
  <si>
    <t>Skalierbarkeit</t>
  </si>
  <si>
    <t>🟢 Sehr hoch</t>
  </si>
  <si>
    <t>🟢 Hoch</t>
  </si>
  <si>
    <t>🟡 Begrenzt</t>
  </si>
  <si>
    <t>Modellauswahl</t>
  </si>
  <si>
    <t>🟡 Anbieter-gebunden</t>
  </si>
  <si>
    <t>🟢 Multi-Provider</t>
  </si>
  <si>
    <t>🟢 Open Source frei</t>
  </si>
  <si>
    <t>IT-Aufwand intern</t>
  </si>
  <si>
    <t>🟢 Minimal</t>
  </si>
  <si>
    <t>🔴 Hoch (DevOps)</t>
  </si>
  <si>
    <t>AI Act Compliance</t>
  </si>
  <si>
    <t>🟡 Anbieter-abhängig</t>
  </si>
  <si>
    <t>🟢 EU-konform</t>
  </si>
  <si>
    <t>🟡 Eigenverantwortung</t>
  </si>
  <si>
    <t>Empfehlung</t>
  </si>
  <si>
    <t>Unkritische Daten
Prototyping</t>
  </si>
  <si>
    <t>Personenbez. Daten
Produktion</t>
  </si>
  <si>
    <t>Hochsensible Daten
Max. Kontrolle</t>
  </si>
  <si>
    <t>⚖️ BESCHAFFUNGSVERGLEICH: API vs. Abo vs. EU-Plattform</t>
  </si>
  <si>
    <t>Welcher Beschaffungsweg ist für Ihr Unternehmen am günstigsten? Gelbe Felder ausfüllen → Ergebnisse berechnen sich automatisch.</t>
  </si>
  <si>
    <t>📝 IHRE SITUATION (gelbe Felder ausfüllen)</t>
  </si>
  <si>
    <t>Anzahl KI-Nutzer im Unternehmen</t>
  </si>
  <si>
    <t>← Wie viele Mitarbeiter nutzen KI?</t>
  </si>
  <si>
    <t>Ø Anfragen pro Nutzer pro Tag</t>
  </si>
  <si>
    <t>← Gelegenheitsnutzer: 5–10 | Power-User: 30–50</t>
  </si>
  <si>
    <t>Ø Tokens pro Anfrage (Input + Output)</t>
  </si>
  <si>
    <t>📊 BERECHNETE WERTE</t>
  </si>
  <si>
    <t>Anfragen gesamt pro Tag</t>
  </si>
  <si>
    <t>Tokens gesamt pro Tag</t>
  </si>
  <si>
    <t>Tokens gesamt pro Monat</t>
  </si>
  <si>
    <t>Kosten pro einzelnem API-Call (Sonnet 4.5)</t>
  </si>
  <si>
    <t>← So viel kostet EIN Aufruf via API</t>
  </si>
  <si>
    <t>📋 ABO-PLÄNE ÜBERSICHT (Pauschale pro Nutzer/Monat)</t>
  </si>
  <si>
    <t>Anbieter / Plan</t>
  </si>
  <si>
    <t>Preis/User/Monat</t>
  </si>
  <si>
    <t>Kosten/Monat
(alle Nutzer)</t>
  </si>
  <si>
    <t>Kosten/Jahr
(alle Nutzer)</t>
  </si>
  <si>
    <t>Modelle inkl.</t>
  </si>
  <si>
    <t>Nutzungslimits</t>
  </si>
  <si>
    <t>DSGVO-Risiko</t>
  </si>
  <si>
    <t>Voraussetzungen</t>
  </si>
  <si>
    <t>ChatGPT Free</t>
  </si>
  <si>
    <t>GPT-5-mini (limitiert)</t>
  </si>
  <si>
    <t>Stark limitiert</t>
  </si>
  <si>
    <t>🔴 USA</t>
  </si>
  <si>
    <t>Keine</t>
  </si>
  <si>
    <t>Nur zum Testen</t>
  </si>
  <si>
    <t>ChatGPT Plus</t>
  </si>
  <si>
    <t>GPT-5.2, o4-mini, DALL-E</t>
  </si>
  <si>
    <t>Nutzungslimits bei
Premium-Modellen</t>
  </si>
  <si>
    <t>Einzelnutzer,
unkritische Daten</t>
  </si>
  <si>
    <t>ChatGPT Team</t>
  </si>
  <si>
    <t>GPT-5.2, o3, DALL-E
+ Admin-Konsole</t>
  </si>
  <si>
    <t>Höhere Limits
als Plus</t>
  </si>
  <si>
    <t>🟡 USA
(keine Trainingsdaten)</t>
  </si>
  <si>
    <t>Min. 2 Nutzer</t>
  </si>
  <si>
    <t>Kleine Teams,
moderate Nutzung</t>
  </si>
  <si>
    <t>ChatGPT Enterprise</t>
  </si>
  <si>
    <t>Individuell
(~60 USD)</t>
  </si>
  <si>
    <t>Alle Modelle
+ unbegrenzt</t>
  </si>
  <si>
    <t>Unbegrenzt</t>
  </si>
  <si>
    <t>🟡 USA
(SOC2, SSO)</t>
  </si>
  <si>
    <t>Min. 50+ Nutzer
typisch</t>
  </si>
  <si>
    <t>Große Unternehmen</t>
  </si>
  <si>
    <t>Claude Free</t>
  </si>
  <si>
    <t>Sonnet 4.5 (limitiert)</t>
  </si>
  <si>
    <t>Claude Pro</t>
  </si>
  <si>
    <t>Opus 4.6, Sonnet 4.5
Haiku 4.5</t>
  </si>
  <si>
    <t>Nutzungslimits bei
Opus</t>
  </si>
  <si>
    <t>Claude Max</t>
  </si>
  <si>
    <t>Opus 4.6 (20x mehr)
Sonnet 4.5 unbegrenzt</t>
  </si>
  <si>
    <t>Sehr hohe Limits</t>
  </si>
  <si>
    <t>Power-User</t>
  </si>
  <si>
    <t>Claude Team</t>
  </si>
  <si>
    <t>Alle Modelle
+ Admin</t>
  </si>
  <si>
    <t>Höhere Limits</t>
  </si>
  <si>
    <t>Min. 5 Nutzer</t>
  </si>
  <si>
    <t>Teams</t>
  </si>
  <si>
    <t>Claude Enterprise</t>
  </si>
  <si>
    <t>Individuell</t>
  </si>
  <si>
    <t>Alle Modelle
+ SSO + SCIM</t>
  </si>
  <si>
    <t>🟡 USA
(SOC2, HIPAA)</t>
  </si>
  <si>
    <t>Vertrag nötig</t>
  </si>
  <si>
    <t>GPT-4-basiert
in Office-Apps</t>
  </si>
  <si>
    <t>Fair Use
(keine harten Limits)</t>
  </si>
  <si>
    <t>🟢 EU möglich
(EU Data Boundary)</t>
  </si>
  <si>
    <t>M365-Lizenz
erforderlich!</t>
  </si>
  <si>
    <t>Office-zentrierte
Unternehmen</t>
  </si>
  <si>
    <t>Gemini Business</t>
  </si>
  <si>
    <t>Gemini 2.5 Pro
in Workspace</t>
  </si>
  <si>
    <t>🟡 USA/EU
(Workspace-Vertrag)</t>
  </si>
  <si>
    <t>Google Workspace
erforderlich</t>
  </si>
  <si>
    <t>Google-Ökosystem</t>
  </si>
  <si>
    <t>Gemini Enterprise</t>
  </si>
  <si>
    <t>Gemini 2.5 Pro
+ NotebookLM</t>
  </si>
  <si>
    <t>⚠️ MS 365 Copilot: Zusätzlich M365-Lizenz erforderlich (~$12,50–$57/User/Monat). Langdock: ab ~1.500 €/Monat (variiert nach Paket). Enterprise-Preise: auf Anfrage.</t>
  </si>
  <si>
    <t>📊 DIREKTVERGLEICH: API vs. Abo bei IHREM Nutzungsvolumen</t>
  </si>
  <si>
    <t>Basierend auf Ihren Eingaben oben – alle Werte berechnen sich automatisch</t>
  </si>
  <si>
    <t>Beschaffungsweg</t>
  </si>
  <si>
    <t>Kosten pro
einzelne Anfrage</t>
  </si>
  <si>
    <t>DSGVO</t>
  </si>
  <si>
    <t>Flexibilität</t>
  </si>
  <si>
    <t>Automatisierung
möglich?</t>
  </si>
  <si>
    <t>🔌 API: Anthropic Sonnet 4.5</t>
  </si>
  <si>
    <t>🟢 Volle Kontrolle
Modellwahl frei</t>
  </si>
  <si>
    <t>🟢 Ja (n8n, Make)</t>
  </si>
  <si>
    <t>Eigene Apps,
n8n-Workflows</t>
  </si>
  <si>
    <t>🔌 API: Anthropic Opus 4.6</t>
  </si>
  <si>
    <t>🟢 Volle Kontrolle</t>
  </si>
  <si>
    <t>Premium-Aufgaben,
komplexe Analysen</t>
  </si>
  <si>
    <t>🔌 API: OpenAI GPT-5.2</t>
  </si>
  <si>
    <t>🔌 API: Google Gemini 2.5 Pro</t>
  </si>
  <si>
    <t>🟡 USA/EU</t>
  </si>
  <si>
    <t>🔌 API: OpenAI GPT-5-mini</t>
  </si>
  <si>
    <t>Einfache Aufgaben,
hohe Volumina</t>
  </si>
  <si>
    <t>👤 Abo: ChatGPT Team ($30/User)</t>
  </si>
  <si>
    <t>🟡 USA
(kein Training)</t>
  </si>
  <si>
    <t>🟡 Nutzungslimits
kein API-Zugang</t>
  </si>
  <si>
    <t>🔴 Nein
(nur manuell)</t>
  </si>
  <si>
    <t>Teams mit
Chat-Nutzung</t>
  </si>
  <si>
    <t>👤 Abo: Claude Team ($30/User)</t>
  </si>
  <si>
    <t>👤 Abo: Claude Pro ($20/User)</t>
  </si>
  <si>
    <t>🟡 Nutzungslimits</t>
  </si>
  <si>
    <t>🔴 Nein</t>
  </si>
  <si>
    <t>Einzelnutzer</t>
  </si>
  <si>
    <t>🏢 Abo: MS 365 Copilot ($30/User)</t>
  </si>
  <si>
    <t>🔴 Nur in Office
kein API</t>
  </si>
  <si>
    <t>🟡 Teilweise
(Power Automate)</t>
  </si>
  <si>
    <t>🇪🇺 Plattform: Langdock</t>
  </si>
  <si>
    <t>🟢 EU-gehostet
DSGVO-konform</t>
  </si>
  <si>
    <t>🟢 Multi-Provider
Audit-Log</t>
  </si>
  <si>
    <t>🟡 Teilweise
(API verfügbar)</t>
  </si>
  <si>
    <t>DSGVO-kritische
Anwendungen</t>
  </si>
  <si>
    <t>⚠️ Copilot: + M365-Lizenz ($12,50–$57/User/Monat). Langdock: ab ~1.500 €/Monat (variiert). Enterprise-Preise auf Anfrage.</t>
  </si>
  <si>
    <t>🎯 BREAK-EVEN: Ab wann ist API günstiger als Abo?</t>
  </si>
  <si>
    <t>Die Tabelle zeigt, ab wie vielen Anfragen/Nutzer/Tag die API günstiger wird als das jeweilige Abo.</t>
  </si>
  <si>
    <t>Vergleich</t>
  </si>
  <si>
    <t>API-Kosten/Monat</t>
  </si>
  <si>
    <t>Abo-Kosten/Monat</t>
  </si>
  <si>
    <t>Günstiger ist...</t>
  </si>
  <si>
    <t>Ersparnis/Monat</t>
  </si>
  <si>
    <t>Ersparnis/Jahr</t>
  </si>
  <si>
    <t>Break-Even
(Anfragen/User/Tag)</t>
  </si>
  <si>
    <t>Ihre Nutzung
(Anfragen/User/Tag)</t>
  </si>
  <si>
    <t>Ergebnis</t>
  </si>
  <si>
    <t>Sonnet 4.5 API vs. Claude Team</t>
  </si>
  <si>
    <t>GPT-5.2 API vs. ChatGPT Team</t>
  </si>
  <si>
    <t>Gemini 2.5 Pro API vs. Gemini Business</t>
  </si>
  <si>
    <t>GPT-5-mini API vs. ChatGPT Plus</t>
  </si>
  <si>
    <t>💡 SO LESEN SIE DIE BREAK-EVEN-TABELLE:</t>
  </si>
  <si>
    <t xml:space="preserve">   Spalte G = Break-Even-Punkt: Ab dieser Anzahl Anfragen/Nutzer/Tag wird die API günstiger als das Abo.</t>
  </si>
  <si>
    <t xml:space="preserve">   Spalte H = Ihre tatsächliche Nutzung (aus Eingabe oben).</t>
  </si>
  <si>
    <t xml:space="preserve">   Spalte I = Ergebnis: Liegt Ihre Nutzung ÜBER dem Break-Even → API spart Geld. Darunter → Abo ist besser.</t>
  </si>
  <si>
    <t xml:space="preserve">   ⚡ Tipp: Ändern Sie die gelben Felder oben und beobachten Sie, wie sich die Ergebnisse ändern!</t>
  </si>
  <si>
    <t>🧭 ENTSCHEIDUNGSHILFE: Welcher Weg passt zu Ihnen?</t>
  </si>
  <si>
    <t>API direkt</t>
  </si>
  <si>
    <t>Abo-Plan
(Team/Pro)</t>
  </si>
  <si>
    <t>EU-Plattform
(Langdock)</t>
  </si>
  <si>
    <t>Wer nutzt es?</t>
  </si>
  <si>
    <t>Entwickler,
Automationen</t>
  </si>
  <si>
    <t>Endanwender
(Chat)</t>
  </si>
  <si>
    <t>Endanwender
+ Compliance</t>
  </si>
  <si>
    <t>Office-Nutzer</t>
  </si>
  <si>
    <t>Technisches Know-how nötig?</t>
  </si>
  <si>
    <t>🔴 Hoch
(API-Integration)</t>
  </si>
  <si>
    <t>🟢 Keins
(Browser/App)</t>
  </si>
  <si>
    <t>🟢 Keins
(Browser)</t>
  </si>
  <si>
    <t>🟢 Keins
(in Office integriert)</t>
  </si>
  <si>
    <t>Kostenmodell</t>
  </si>
  <si>
    <t>Variabel
(Pay-per-Use)</t>
  </si>
  <si>
    <t>Fix
(pro User/Monat)</t>
  </si>
  <si>
    <t>Fix
(Pauschal/Monat)</t>
  </si>
  <si>
    <t>Kostenkontrolle</t>
  </si>
  <si>
    <t>🟡 Schwankt
mit Nutzung</t>
  </si>
  <si>
    <t>🟢 Planbar
(Pauschale)</t>
  </si>
  <si>
    <t>🟢 Planbar</t>
  </si>
  <si>
    <t>🟢 Frei wählbar
jederzeit wechselbar</t>
  </si>
  <si>
    <t>🟡 Nur Modelle
des Anbieters</t>
  </si>
  <si>
    <t>🟢 Multi-Provider
(OpenAI + Anthropic)</t>
  </si>
  <si>
    <t>🔴 Nur Microsoft-
Modelle</t>
  </si>
  <si>
    <t>DSGVO-Konformität</t>
  </si>
  <si>
    <t>🔴 Eigenverantwortung
(AVV nötig)</t>
  </si>
  <si>
    <t>🟡 Anbieter-abhängig
(Team/Enterprise besser)</t>
  </si>
  <si>
    <t>🟢 EU Data Boundary
möglich</t>
  </si>
  <si>
    <t>Automatisierung möglich?</t>
  </si>
  <si>
    <t>🟢 Ja
(n8n, Make, Zapier)</t>
  </si>
  <si>
    <t>Vendor Lock-in Risiko</t>
  </si>
  <si>
    <t>🟢 Gering
(Modell wechselbar)</t>
  </si>
  <si>
    <t>🟡 Mittel
(aber Multi-Provider)</t>
  </si>
  <si>
    <t>🔴 Hoch
(Microsoft-Ökosystem)</t>
  </si>
  <si>
    <t>Skalierung</t>
  </si>
  <si>
    <t>🟢 Unbegrenzt
(zahle was du nutzt)</t>
  </si>
  <si>
    <t>🔴 Limits pro User
(Throttling)</t>
  </si>
  <si>
    <t>🟢 Skalierbar
(Paket-Upgrade)</t>
  </si>
  <si>
    <t>🟡 Fair Use
(keine harten Limits)</t>
  </si>
  <si>
    <t>Ideal für...</t>
  </si>
  <si>
    <t>Eigene KI-Apps
Workflows, Agenten
n8n-Automationen</t>
  </si>
  <si>
    <t>Mitarbeiter-
produktivität
(Chat-Nutzung)</t>
  </si>
  <si>
    <t>Regulierte Branchen
Personenbez. Daten
Compliance-Pflicht</t>
  </si>
  <si>
    <t>Office-Heavy
Unternehmen
(Word, Excel, PPT)</t>
  </si>
  <si>
    <t>🏆 FAZIT FÜR EINKÄUFER</t>
  </si>
  <si>
    <t>1. Wenige Nutzer + viel Nutzung + Automationen → API (Pay-per-Use, volle Kontrolle, n8n-fähig)</t>
  </si>
  <si>
    <t>2. Viele Nutzer + moderate Nutzung + kein IT-Team → Abo (planbare Kosten, einfach, sofort einsatzbereit)</t>
  </si>
  <si>
    <t>3. Personenbezogene Daten / regulierte Branche → EU-Plattform (Langdock) oder Self-Hosted (n8n + lokale Modelle)</t>
  </si>
  <si>
    <t>4. Office-zentriertes Unternehmen → MS 365 Copilot (aber: M365-Lizenz + Lock-in beachten!)</t>
  </si>
  <si>
    <t>5. ⭐ Kombination ist oft optimal: Abo für Chat-Nutzer + API für Automationen + EU-Plattform für sensible Daten</t>
  </si>
  <si>
    <t>⚖️ Alle Preise Stand Februar 2026. Änderungen vorbehalten. Juristische Prüfung der DSGVO-Bewertungen durch VARYFY-Anwälte empfohlen.</t>
  </si>
  <si>
    <t>📖 ANLEITUNG ZUM KOSTENRECHNER</t>
  </si>
  <si>
    <t>SO NUTZEN SIE DIESEN KOSTENRECHNER:</t>
  </si>
  <si>
    <t>1. Öffnen Sie das Sheet "Token-Kostenrechner"</t>
  </si>
  <si>
    <t>2. Tragen Sie Ihre Werte in die gelb hinterlegten Felder ein:</t>
  </si>
  <si>
    <t xml:space="preserve">   • Anfragen pro Tag: Wie viele KI-Anfragen erwarten Sie täglich?</t>
  </si>
  <si>
    <t xml:space="preserve">   • Tokens pro Anfrage: Standard ist 1.000 (kurze Anfragen ~500, lange ~2.000+)</t>
  </si>
  <si>
    <t xml:space="preserve">   • Input-Anteil: Standard 60% (Prompt) / 40% (Antwort)</t>
  </si>
  <si>
    <t>3. Die Kosten werden automatisch für alle 20 Modelle berechnet</t>
  </si>
  <si>
    <t>4. Vergleichen Sie die Jahreskosten in Spalte G</t>
  </si>
  <si>
    <t>ENTHALTENE MODELLE (Stand Feb. 2026):</t>
  </si>
  <si>
    <t>• Anthropic: Opus 4.6, Opus 4.5, Sonnet 4.5, Sonnet 4, Haiku 4.5, Haiku 3.5</t>
  </si>
  <si>
    <t>• OpenAI: GPT-5.2, GPT-5.2 Pro, GPT-5.1, GPT-5, GPT-5-mini, GPT-5-nano, o3, o4-mini</t>
  </si>
  <si>
    <t>• Google: Gemini 3 Pro (Preview), Gemini 2.5 Pro, Gemini 2.5 Flash, Gemini 2.5 Flash-Lite</t>
  </si>
  <si>
    <t>• Plattformen: Microsoft 365 Copilot, Langdock</t>
  </si>
  <si>
    <t>MODELL-KASKADIERUNG:</t>
  </si>
  <si>
    <t>5. Wechseln Sie zum Sheet "Modell-Kaskadierung"</t>
  </si>
  <si>
    <t>6. Passen Sie die Anteile an (einfach/mittel/komplex)</t>
  </si>
  <si>
    <t>7. Vergleichen Sie die Ersparnis gegenüber einem Einheitsmodell</t>
  </si>
  <si>
    <t>8. Sowohl Anthropic- als auch OpenAI-Kaskaden werden berechnet</t>
  </si>
  <si>
    <t>TCO-VERGLEICH:</t>
  </si>
  <si>
    <t>9. Das Sheet "TCO-Vergleich" zeigt Gesamtkosten über 12 Monate</t>
  </si>
  <si>
    <t>10. Drei Betriebsmodelle: Cloud API vs. EU-Plattform vs. Self-Hosted</t>
  </si>
  <si>
    <t>11. Passen Sie die Kostenansätze an Ihre Situation an</t>
  </si>
  <si>
    <t>12. Nutzen Sie die qualitative Bewertung für Ihre Entscheidung</t>
  </si>
  <si>
    <t>PREISQUELLEN:</t>
  </si>
  <si>
    <t>• OpenAI: platform.openai.com/docs/pricing (Standard-Tier)</t>
  </si>
  <si>
    <t>• Anthropic: platform.claude.com/docs/en/about-claude/pricing</t>
  </si>
  <si>
    <t>• Google: ai.google.dev/gemini-api/docs/pricing</t>
  </si>
  <si>
    <t>• Microsoft: microsoft.com/microsoft-365-copilot/pricing</t>
  </si>
  <si>
    <t>⚠️ WICHTIGE HINWEISE:</t>
  </si>
  <si>
    <t>• Alle Preise sind Richtwerte (Stand: Februar 2026)</t>
  </si>
  <si>
    <t>• Token-Preise ändern sich häufig – prüfen Sie aktuelle Preislisten</t>
  </si>
  <si>
    <t>• OpenAI bietet Batch-API (50% günstiger) und Cached Input (bis 90% günstiger)</t>
  </si>
  <si>
    <t>• Anthropic bietet Prompt Caching (90% günstiger) und Batch Processing (50%)</t>
  </si>
  <si>
    <t>• Reasoning-Tokens (o3, o4-mini) werden als Output-Tokens berechnet</t>
  </si>
  <si>
    <t>• Self-Hosted-Kosten variieren stark je nach Hardware und Team</t>
  </si>
  <si>
    <t>⚖️ RECHTLICHER HINWEIS:</t>
  </si>
  <si>
    <t>Dieser Kostenrechner dient ausschließlich der Orientierung.</t>
  </si>
  <si>
    <t>Alle Angaben ohne Gewähr. Für verbindliche Kalkulationen</t>
  </si>
  <si>
    <t>kontaktieren Sie VARYFY: info@varyfy.de</t>
  </si>
  <si>
    <t>© VARYFY (VARY.LEGAL GmbH) | www.varyfy.de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</si>
</sst>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$#,##0.00"/>
    <numFmt numFmtId="165" formatCode="\$#,##0.00&quot; /User&quot;"/>
    <numFmt numFmtId="166" formatCode="\$#,##0.00\ &quot;/Monat&quot;"/>
    <numFmt numFmtId="167" formatCode="#,##0&quot;x&quot;"/>
    <numFmt numFmtId="168" formatCode="0.0&quot;x teurer&quot;"/>
    <numFmt numFmtId="169" formatCode="0.0&quot;x&quot;"/>
    <numFmt numFmtId="170" formatCode="#,##0\ &quot;€&quot;"/>
    <numFmt numFmtId="171" formatCode="\$0.0000"/>
    <numFmt numFmtId="172" formatCode="\$#,##0"/>
  </numFmts>
  <fonts count="19" x14ac:knownFonts="1">
    <font>
      <sz val="11"/>
      <color theme="1"/>
      <name val="Calibri"/>
      <family val="2"/>
      <scheme val="minor"/>
    </font>
    <font>
      <b/>
      <sz val="16"/>
      <color rgb="FF1B3A5C"/>
      <name val="Calibri"/>
    </font>
    <font>
      <sz val="9"/>
      <color rgb="FF666666"/>
      <name val="Calibri"/>
    </font>
    <font>
      <b/>
      <sz val="10"/>
      <color rgb="FFE74C3C"/>
      <name val="Calibri"/>
    </font>
    <font>
      <b/>
      <sz val="13"/>
      <color rgb="FF1B3A5C"/>
      <name val="Calibri"/>
    </font>
    <font>
      <sz val="10"/>
      <color rgb="FF000000"/>
      <name val="Calibri"/>
    </font>
    <font>
      <b/>
      <sz val="11"/>
      <color rgb="FF1B3A5C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b/>
      <sz val="11"/>
      <color rgb="FF27AE60"/>
      <name val="Calibri"/>
    </font>
    <font>
      <b/>
      <sz val="14"/>
      <color rgb="FFE74C3C"/>
      <name val="Calibri"/>
    </font>
    <font>
      <b/>
      <sz val="12"/>
      <color rgb="FF27AE60"/>
      <name val="Calibri"/>
    </font>
    <font>
      <b/>
      <sz val="13"/>
      <color rgb="FF27AE60"/>
      <name val="Calibri"/>
    </font>
    <font>
      <b/>
      <sz val="14"/>
      <color rgb="FF27AE60"/>
      <name val="Calibri"/>
    </font>
    <font>
      <b/>
      <sz val="11"/>
      <color rgb="FF2E5E8E"/>
      <name val="Calibri"/>
    </font>
    <font>
      <b/>
      <sz val="12"/>
      <color rgb="FFFFFFFF"/>
      <name val="Calibri"/>
    </font>
    <font>
      <b/>
      <sz val="10"/>
      <color rgb="FF000000"/>
      <name val="Calibri"/>
    </font>
    <font>
      <b/>
      <sz val="10"/>
      <color rgb="FF27AE60"/>
      <name val="Calibri"/>
    </font>
    <font>
      <b/>
      <sz val="10"/>
      <color rgb="FFF39C12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F9E6"/>
        <bgColor rgb="FFFFF9E6"/>
      </patternFill>
    </fill>
    <fill>
      <patternFill patternType="solid">
        <fgColor rgb="FFE8F5E9"/>
        <bgColor rgb="FFE8F5E9"/>
      </patternFill>
    </fill>
    <fill>
      <patternFill patternType="solid">
        <fgColor rgb="FF1B3A5C"/>
        <bgColor rgb="FF1B3A5C"/>
      </patternFill>
    </fill>
    <fill>
      <patternFill patternType="solid">
        <fgColor rgb="FFE8F8F5"/>
        <bgColor rgb="FFE8F8F5"/>
      </patternFill>
    </fill>
    <fill>
      <patternFill patternType="solid">
        <fgColor rgb="FFEBF5FB"/>
        <bgColor rgb="FFEBF5FB"/>
      </patternFill>
    </fill>
    <fill>
      <patternFill patternType="solid">
        <fgColor rgb="FFF9EBEA"/>
        <bgColor rgb="FFF9EBEA"/>
      </patternFill>
    </fill>
    <fill>
      <patternFill patternType="solid">
        <fgColor rgb="FFFEF9E7"/>
        <bgColor rgb="FFFEF9E7"/>
      </patternFill>
    </fill>
    <fill>
      <patternFill patternType="solid">
        <fgColor rgb="FFF4ECF7"/>
        <bgColor rgb="FFF4ECF7"/>
      </patternFill>
    </fill>
    <fill>
      <patternFill patternType="solid">
        <fgColor rgb="FFFDEDEC"/>
        <bgColor rgb="FFFDEDEC"/>
      </patternFill>
    </fill>
    <fill>
      <patternFill patternType="solid">
        <fgColor rgb="FFD6E4F0"/>
        <bgColor rgb="FFD6E4F0"/>
      </patternFill>
    </fill>
    <fill>
      <patternFill patternType="solid">
        <fgColor rgb="FFF5F5F5"/>
        <bgColor rgb="FFF5F5F5"/>
      </patternFill>
    </fill>
    <fill>
      <patternFill patternType="solid">
        <fgColor rgb="FFD5F5E3"/>
        <bgColor rgb="FFD5F5E3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166" fontId="9" fillId="3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left" vertical="center" wrapText="1"/>
    </xf>
    <xf numFmtId="166" fontId="3" fillId="10" borderId="1" xfId="0" applyNumberFormat="1" applyFon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left" vertical="center" wrapText="1"/>
    </xf>
    <xf numFmtId="167" fontId="10" fillId="11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left" vertical="center" wrapText="1"/>
    </xf>
    <xf numFmtId="170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70" fontId="14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wrapText="1"/>
    </xf>
    <xf numFmtId="170" fontId="15" fillId="4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4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171" fontId="9" fillId="3" borderId="1" xfId="0" applyNumberFormat="1" applyFont="1" applyFill="1" applyBorder="1" applyAlignment="1">
      <alignment horizontal="center" vertical="center" wrapText="1"/>
    </xf>
    <xf numFmtId="172" fontId="5" fillId="0" borderId="1" xfId="0" applyNumberFormat="1" applyFont="1" applyBorder="1" applyAlignment="1">
      <alignment horizontal="center" vertical="center" wrapText="1"/>
    </xf>
    <xf numFmtId="172" fontId="5" fillId="0" borderId="1" xfId="0" applyNumberFormat="1" applyFont="1" applyBorder="1" applyAlignment="1">
      <alignment horizontal="right" vertical="center"/>
    </xf>
    <xf numFmtId="172" fontId="5" fillId="12" borderId="1" xfId="0" applyNumberFormat="1" applyFont="1" applyFill="1" applyBorder="1" applyAlignment="1">
      <alignment horizontal="center" vertical="center" wrapText="1"/>
    </xf>
    <xf numFmtId="172" fontId="5" fillId="12" borderId="1" xfId="0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171" fontId="2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171" fontId="2" fillId="6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/>
    </xf>
    <xf numFmtId="171" fontId="2" fillId="9" borderId="1" xfId="0" applyNumberFormat="1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C"/>
  </sheetPr>
  <dimension ref="A1:H51"/>
  <sheetViews>
    <sheetView tabSelected="1" workbookViewId="0">
      <selection sqref="A1:H1"/>
    </sheetView>
  </sheetViews>
  <sheetFormatPr baseColWidth="10" defaultColWidth="9.06640625" defaultRowHeight="14.25" x14ac:dyDescent="0.45"/>
  <cols>
    <col min="1" max="1" width="32" customWidth="1"/>
    <col min="2" max="2" width="18" customWidth="1"/>
    <col min="3" max="5" width="16" customWidth="1"/>
    <col min="6" max="7" width="18" customWidth="1"/>
    <col min="8" max="8" width="22" customWidth="1"/>
  </cols>
  <sheetData>
    <row r="1" spans="1:8" x14ac:dyDescent="0.45">
      <c r="A1" s="90" t="s">
        <v>0</v>
      </c>
      <c r="B1" s="88"/>
      <c r="C1" s="88"/>
      <c r="D1" s="88"/>
      <c r="E1" s="88"/>
      <c r="F1" s="88"/>
      <c r="G1" s="88"/>
      <c r="H1" s="88"/>
    </row>
    <row r="2" spans="1:8" x14ac:dyDescent="0.45">
      <c r="A2" s="92" t="s">
        <v>1</v>
      </c>
      <c r="B2" s="88"/>
      <c r="C2" s="88"/>
      <c r="D2" s="88"/>
      <c r="E2" s="88"/>
      <c r="F2" s="88"/>
      <c r="G2" s="88"/>
      <c r="H2" s="88"/>
    </row>
    <row r="3" spans="1:8" x14ac:dyDescent="0.45">
      <c r="A3" s="91" t="s">
        <v>2</v>
      </c>
      <c r="B3" s="88"/>
      <c r="C3" s="88"/>
      <c r="D3" s="88"/>
      <c r="E3" s="88"/>
      <c r="F3" s="88"/>
      <c r="G3" s="88"/>
      <c r="H3" s="88"/>
    </row>
    <row r="5" spans="1:8" x14ac:dyDescent="0.45">
      <c r="A5" s="89" t="s">
        <v>3</v>
      </c>
      <c r="B5" s="88"/>
      <c r="C5" s="88"/>
      <c r="D5" s="88"/>
      <c r="E5" s="88"/>
      <c r="F5" s="88"/>
      <c r="G5" s="88"/>
      <c r="H5" s="88"/>
    </row>
    <row r="6" spans="1:8" ht="23.25" x14ac:dyDescent="0.45">
      <c r="A6" s="2" t="s">
        <v>4</v>
      </c>
      <c r="B6" s="3">
        <v>500</v>
      </c>
      <c r="C6" s="4" t="s">
        <v>5</v>
      </c>
    </row>
    <row r="7" spans="1:8" ht="34.9" x14ac:dyDescent="0.45">
      <c r="A7" s="2" t="s">
        <v>6</v>
      </c>
      <c r="B7" s="3">
        <v>1000</v>
      </c>
      <c r="C7" s="4" t="s">
        <v>7</v>
      </c>
    </row>
    <row r="8" spans="1:8" ht="23.25" x14ac:dyDescent="0.45">
      <c r="A8" s="2" t="s">
        <v>8</v>
      </c>
      <c r="B8" s="5">
        <v>0.6</v>
      </c>
      <c r="C8" s="4" t="s">
        <v>9</v>
      </c>
    </row>
    <row r="9" spans="1:8" ht="23.25" x14ac:dyDescent="0.45">
      <c r="A9" s="2" t="s">
        <v>10</v>
      </c>
      <c r="B9" s="6">
        <f>1-B8</f>
        <v>0.4</v>
      </c>
      <c r="C9" s="4" t="s">
        <v>11</v>
      </c>
    </row>
    <row r="10" spans="1:8" ht="23.25" x14ac:dyDescent="0.45">
      <c r="A10" s="2" t="s">
        <v>12</v>
      </c>
      <c r="B10" s="3">
        <v>22</v>
      </c>
      <c r="C10" s="4" t="s">
        <v>13</v>
      </c>
    </row>
    <row r="11" spans="1:8" ht="23.25" x14ac:dyDescent="0.45">
      <c r="A11" s="2" t="s">
        <v>14</v>
      </c>
      <c r="B11" s="7">
        <f>B6*B7</f>
        <v>500000</v>
      </c>
      <c r="C11" s="4" t="s">
        <v>11</v>
      </c>
    </row>
    <row r="12" spans="1:8" ht="23.25" x14ac:dyDescent="0.45">
      <c r="A12" s="2" t="s">
        <v>15</v>
      </c>
      <c r="B12" s="7">
        <f>B11*B10</f>
        <v>11000000</v>
      </c>
      <c r="C12" s="4" t="s">
        <v>11</v>
      </c>
    </row>
    <row r="14" spans="1:8" x14ac:dyDescent="0.45">
      <c r="A14" s="89" t="s">
        <v>16</v>
      </c>
      <c r="B14" s="88"/>
      <c r="C14" s="88"/>
      <c r="D14" s="88"/>
      <c r="E14" s="88"/>
      <c r="F14" s="88"/>
      <c r="G14" s="88"/>
      <c r="H14" s="88"/>
    </row>
    <row r="15" spans="1:8" x14ac:dyDescent="0.45">
      <c r="A15" s="8" t="s">
        <v>17</v>
      </c>
      <c r="B15" s="8" t="s">
        <v>18</v>
      </c>
      <c r="C15" s="8" t="s">
        <v>19</v>
      </c>
      <c r="D15" s="8" t="s">
        <v>20</v>
      </c>
      <c r="E15" s="8" t="s">
        <v>21</v>
      </c>
      <c r="F15" s="8" t="s">
        <v>22</v>
      </c>
      <c r="G15" s="8" t="s">
        <v>23</v>
      </c>
      <c r="H15" s="8" t="s">
        <v>24</v>
      </c>
    </row>
    <row r="16" spans="1:8" x14ac:dyDescent="0.45">
      <c r="A16" s="9" t="s">
        <v>25</v>
      </c>
      <c r="B16" s="10" t="s">
        <v>26</v>
      </c>
      <c r="C16" s="11">
        <v>0.05</v>
      </c>
      <c r="D16" s="11">
        <v>0.4</v>
      </c>
      <c r="E16" s="12">
        <f t="shared" ref="E16:E33" si="0">($B$11*$B$8*C16+$B$11*$B$9*D16)/1000000</f>
        <v>9.5000000000000001E-2</v>
      </c>
      <c r="F16" s="12">
        <f t="shared" ref="F16:F33" si="1">E16*$B$10</f>
        <v>2.09</v>
      </c>
      <c r="G16" s="12">
        <f t="shared" ref="G16:G33" si="2">F16*12</f>
        <v>25.08</v>
      </c>
      <c r="H16" s="13" t="s">
        <v>27</v>
      </c>
    </row>
    <row r="17" spans="1:8" x14ac:dyDescent="0.45">
      <c r="A17" s="9" t="s">
        <v>28</v>
      </c>
      <c r="B17" s="10" t="s">
        <v>26</v>
      </c>
      <c r="C17" s="11">
        <v>0.25</v>
      </c>
      <c r="D17" s="11">
        <v>2</v>
      </c>
      <c r="E17" s="12">
        <f t="shared" si="0"/>
        <v>0.47499999999999998</v>
      </c>
      <c r="F17" s="12">
        <f t="shared" si="1"/>
        <v>10.45</v>
      </c>
      <c r="G17" s="12">
        <f t="shared" si="2"/>
        <v>125.39999999999999</v>
      </c>
      <c r="H17" s="13" t="s">
        <v>27</v>
      </c>
    </row>
    <row r="18" spans="1:8" x14ac:dyDescent="0.45">
      <c r="A18" s="9" t="s">
        <v>29</v>
      </c>
      <c r="B18" s="10" t="s">
        <v>30</v>
      </c>
      <c r="C18" s="11">
        <v>0.8</v>
      </c>
      <c r="D18" s="11">
        <v>4</v>
      </c>
      <c r="E18" s="12">
        <f t="shared" si="0"/>
        <v>1.04</v>
      </c>
      <c r="F18" s="12">
        <f t="shared" si="1"/>
        <v>22.880000000000003</v>
      </c>
      <c r="G18" s="12">
        <f t="shared" si="2"/>
        <v>274.56000000000006</v>
      </c>
      <c r="H18" s="13" t="s">
        <v>27</v>
      </c>
    </row>
    <row r="19" spans="1:8" x14ac:dyDescent="0.45">
      <c r="A19" s="9" t="s">
        <v>31</v>
      </c>
      <c r="B19" s="10" t="s">
        <v>30</v>
      </c>
      <c r="C19" s="11">
        <v>1</v>
      </c>
      <c r="D19" s="11">
        <v>5</v>
      </c>
      <c r="E19" s="12">
        <f t="shared" si="0"/>
        <v>1.3</v>
      </c>
      <c r="F19" s="12">
        <f t="shared" si="1"/>
        <v>28.6</v>
      </c>
      <c r="G19" s="12">
        <f t="shared" si="2"/>
        <v>343.20000000000005</v>
      </c>
      <c r="H19" s="13" t="s">
        <v>27</v>
      </c>
    </row>
    <row r="20" spans="1:8" x14ac:dyDescent="0.45">
      <c r="A20" s="9" t="s">
        <v>32</v>
      </c>
      <c r="B20" s="10" t="s">
        <v>33</v>
      </c>
      <c r="C20" s="11">
        <v>0.3</v>
      </c>
      <c r="D20" s="11">
        <v>2.5</v>
      </c>
      <c r="E20" s="12">
        <f t="shared" si="0"/>
        <v>0.59</v>
      </c>
      <c r="F20" s="12">
        <f t="shared" si="1"/>
        <v>12.979999999999999</v>
      </c>
      <c r="G20" s="12">
        <f t="shared" si="2"/>
        <v>155.76</v>
      </c>
      <c r="H20" s="13" t="s">
        <v>27</v>
      </c>
    </row>
    <row r="21" spans="1:8" x14ac:dyDescent="0.45">
      <c r="A21" s="9" t="s">
        <v>34</v>
      </c>
      <c r="B21" s="10" t="s">
        <v>33</v>
      </c>
      <c r="C21" s="11">
        <v>0.1</v>
      </c>
      <c r="D21" s="11">
        <v>0.4</v>
      </c>
      <c r="E21" s="12">
        <f t="shared" si="0"/>
        <v>0.11</v>
      </c>
      <c r="F21" s="12">
        <f t="shared" si="1"/>
        <v>2.42</v>
      </c>
      <c r="G21" s="12">
        <f t="shared" si="2"/>
        <v>29.04</v>
      </c>
      <c r="H21" s="13" t="s">
        <v>27</v>
      </c>
    </row>
    <row r="22" spans="1:8" x14ac:dyDescent="0.45">
      <c r="A22" s="14" t="s">
        <v>35</v>
      </c>
      <c r="B22" s="15" t="s">
        <v>26</v>
      </c>
      <c r="C22" s="16">
        <v>1.25</v>
      </c>
      <c r="D22" s="16">
        <v>10</v>
      </c>
      <c r="E22" s="17">
        <f t="shared" si="0"/>
        <v>2.375</v>
      </c>
      <c r="F22" s="17">
        <f t="shared" si="1"/>
        <v>52.25</v>
      </c>
      <c r="G22" s="17">
        <f t="shared" si="2"/>
        <v>627</v>
      </c>
      <c r="H22" s="18" t="s">
        <v>36</v>
      </c>
    </row>
    <row r="23" spans="1:8" x14ac:dyDescent="0.45">
      <c r="A23" s="14" t="s">
        <v>37</v>
      </c>
      <c r="B23" s="15" t="s">
        <v>26</v>
      </c>
      <c r="C23" s="16">
        <v>1.25</v>
      </c>
      <c r="D23" s="16">
        <v>10</v>
      </c>
      <c r="E23" s="17">
        <f t="shared" si="0"/>
        <v>2.375</v>
      </c>
      <c r="F23" s="17">
        <f t="shared" si="1"/>
        <v>52.25</v>
      </c>
      <c r="G23" s="17">
        <f t="shared" si="2"/>
        <v>627</v>
      </c>
      <c r="H23" s="18" t="s">
        <v>36</v>
      </c>
    </row>
    <row r="24" spans="1:8" x14ac:dyDescent="0.45">
      <c r="A24" s="14" t="s">
        <v>38</v>
      </c>
      <c r="B24" s="15" t="s">
        <v>26</v>
      </c>
      <c r="C24" s="16">
        <v>1.75</v>
      </c>
      <c r="D24" s="16">
        <v>14</v>
      </c>
      <c r="E24" s="17">
        <f t="shared" si="0"/>
        <v>3.3250000000000002</v>
      </c>
      <c r="F24" s="17">
        <f t="shared" si="1"/>
        <v>73.150000000000006</v>
      </c>
      <c r="G24" s="17">
        <f t="shared" si="2"/>
        <v>877.80000000000007</v>
      </c>
      <c r="H24" s="18" t="s">
        <v>36</v>
      </c>
    </row>
    <row r="25" spans="1:8" x14ac:dyDescent="0.45">
      <c r="A25" s="14" t="s">
        <v>39</v>
      </c>
      <c r="B25" s="15" t="s">
        <v>30</v>
      </c>
      <c r="C25" s="16">
        <v>3</v>
      </c>
      <c r="D25" s="16">
        <v>15</v>
      </c>
      <c r="E25" s="17">
        <f t="shared" si="0"/>
        <v>3.9</v>
      </c>
      <c r="F25" s="17">
        <f t="shared" si="1"/>
        <v>85.8</v>
      </c>
      <c r="G25" s="17">
        <f t="shared" si="2"/>
        <v>1029.5999999999999</v>
      </c>
      <c r="H25" s="18" t="s">
        <v>36</v>
      </c>
    </row>
    <row r="26" spans="1:8" x14ac:dyDescent="0.45">
      <c r="A26" s="14" t="s">
        <v>40</v>
      </c>
      <c r="B26" s="15" t="s">
        <v>30</v>
      </c>
      <c r="C26" s="16">
        <v>3</v>
      </c>
      <c r="D26" s="16">
        <v>15</v>
      </c>
      <c r="E26" s="17">
        <f t="shared" si="0"/>
        <v>3.9</v>
      </c>
      <c r="F26" s="17">
        <f t="shared" si="1"/>
        <v>85.8</v>
      </c>
      <c r="G26" s="17">
        <f t="shared" si="2"/>
        <v>1029.5999999999999</v>
      </c>
      <c r="H26" s="18" t="s">
        <v>36</v>
      </c>
    </row>
    <row r="27" spans="1:8" x14ac:dyDescent="0.45">
      <c r="A27" s="14" t="s">
        <v>41</v>
      </c>
      <c r="B27" s="15" t="s">
        <v>33</v>
      </c>
      <c r="C27" s="16">
        <v>1.25</v>
      </c>
      <c r="D27" s="16">
        <v>10</v>
      </c>
      <c r="E27" s="17">
        <f t="shared" si="0"/>
        <v>2.375</v>
      </c>
      <c r="F27" s="17">
        <f t="shared" si="1"/>
        <v>52.25</v>
      </c>
      <c r="G27" s="17">
        <f t="shared" si="2"/>
        <v>627</v>
      </c>
      <c r="H27" s="18" t="s">
        <v>36</v>
      </c>
    </row>
    <row r="28" spans="1:8" x14ac:dyDescent="0.45">
      <c r="A28" s="14" t="s">
        <v>42</v>
      </c>
      <c r="B28" s="15" t="s">
        <v>33</v>
      </c>
      <c r="C28" s="16">
        <v>2</v>
      </c>
      <c r="D28" s="16">
        <v>12</v>
      </c>
      <c r="E28" s="17">
        <f t="shared" si="0"/>
        <v>3</v>
      </c>
      <c r="F28" s="17">
        <f t="shared" si="1"/>
        <v>66</v>
      </c>
      <c r="G28" s="17">
        <f t="shared" si="2"/>
        <v>792</v>
      </c>
      <c r="H28" s="18" t="s">
        <v>36</v>
      </c>
    </row>
    <row r="29" spans="1:8" x14ac:dyDescent="0.45">
      <c r="A29" s="19" t="s">
        <v>43</v>
      </c>
      <c r="B29" s="20" t="s">
        <v>30</v>
      </c>
      <c r="C29" s="21">
        <v>5</v>
      </c>
      <c r="D29" s="21">
        <v>25</v>
      </c>
      <c r="E29" s="22">
        <f t="shared" si="0"/>
        <v>6.5</v>
      </c>
      <c r="F29" s="22">
        <f t="shared" si="1"/>
        <v>143</v>
      </c>
      <c r="G29" s="22">
        <f t="shared" si="2"/>
        <v>1716</v>
      </c>
      <c r="H29" s="23" t="s">
        <v>44</v>
      </c>
    </row>
    <row r="30" spans="1:8" x14ac:dyDescent="0.45">
      <c r="A30" s="19" t="s">
        <v>45</v>
      </c>
      <c r="B30" s="20" t="s">
        <v>30</v>
      </c>
      <c r="C30" s="21">
        <v>5</v>
      </c>
      <c r="D30" s="21">
        <v>25</v>
      </c>
      <c r="E30" s="22">
        <f t="shared" si="0"/>
        <v>6.5</v>
      </c>
      <c r="F30" s="22">
        <f t="shared" si="1"/>
        <v>143</v>
      </c>
      <c r="G30" s="22">
        <f t="shared" si="2"/>
        <v>1716</v>
      </c>
      <c r="H30" s="23" t="s">
        <v>44</v>
      </c>
    </row>
    <row r="31" spans="1:8" x14ac:dyDescent="0.45">
      <c r="A31" s="19" t="s">
        <v>46</v>
      </c>
      <c r="B31" s="20" t="s">
        <v>26</v>
      </c>
      <c r="C31" s="21">
        <v>21</v>
      </c>
      <c r="D31" s="21">
        <v>168</v>
      </c>
      <c r="E31" s="22">
        <f t="shared" si="0"/>
        <v>39.9</v>
      </c>
      <c r="F31" s="22">
        <f t="shared" si="1"/>
        <v>877.8</v>
      </c>
      <c r="G31" s="22">
        <f t="shared" si="2"/>
        <v>10533.599999999999</v>
      </c>
      <c r="H31" s="23" t="s">
        <v>44</v>
      </c>
    </row>
    <row r="32" spans="1:8" x14ac:dyDescent="0.45">
      <c r="A32" s="24" t="s">
        <v>47</v>
      </c>
      <c r="B32" s="25" t="s">
        <v>26</v>
      </c>
      <c r="C32" s="26">
        <v>2</v>
      </c>
      <c r="D32" s="26">
        <v>8</v>
      </c>
      <c r="E32" s="27">
        <f t="shared" si="0"/>
        <v>2.2000000000000002</v>
      </c>
      <c r="F32" s="27">
        <f t="shared" si="1"/>
        <v>48.400000000000006</v>
      </c>
      <c r="G32" s="27">
        <f t="shared" si="2"/>
        <v>580.80000000000007</v>
      </c>
      <c r="H32" s="28" t="s">
        <v>48</v>
      </c>
    </row>
    <row r="33" spans="1:8" x14ac:dyDescent="0.45">
      <c r="A33" s="24" t="s">
        <v>49</v>
      </c>
      <c r="B33" s="25" t="s">
        <v>26</v>
      </c>
      <c r="C33" s="26">
        <v>1.1000000000000001</v>
      </c>
      <c r="D33" s="26">
        <v>4.4000000000000004</v>
      </c>
      <c r="E33" s="27">
        <f t="shared" si="0"/>
        <v>1.21</v>
      </c>
      <c r="F33" s="27">
        <f t="shared" si="1"/>
        <v>26.619999999999997</v>
      </c>
      <c r="G33" s="27">
        <f t="shared" si="2"/>
        <v>319.43999999999994</v>
      </c>
      <c r="H33" s="28" t="s">
        <v>48</v>
      </c>
    </row>
    <row r="34" spans="1:8" x14ac:dyDescent="0.45">
      <c r="A34" s="29" t="s">
        <v>50</v>
      </c>
      <c r="B34" s="30" t="s">
        <v>51</v>
      </c>
      <c r="C34" s="31" t="s">
        <v>52</v>
      </c>
      <c r="D34" s="31" t="s">
        <v>52</v>
      </c>
      <c r="E34" s="31" t="s">
        <v>53</v>
      </c>
      <c r="F34" s="32">
        <v>30</v>
      </c>
      <c r="G34" s="32">
        <v>360</v>
      </c>
      <c r="H34" s="31" t="s">
        <v>54</v>
      </c>
    </row>
    <row r="35" spans="1:8" x14ac:dyDescent="0.45">
      <c r="A35" s="29" t="s">
        <v>55</v>
      </c>
      <c r="B35" s="30" t="s">
        <v>56</v>
      </c>
      <c r="C35" s="31" t="s">
        <v>52</v>
      </c>
      <c r="D35" s="31" t="s">
        <v>52</v>
      </c>
      <c r="E35" s="31" t="s">
        <v>53</v>
      </c>
      <c r="F35" s="33" t="s">
        <v>57</v>
      </c>
      <c r="G35" s="33" t="s">
        <v>58</v>
      </c>
      <c r="H35" s="31" t="s">
        <v>54</v>
      </c>
    </row>
    <row r="37" spans="1:8" x14ac:dyDescent="0.45">
      <c r="A37" s="87" t="s">
        <v>59</v>
      </c>
      <c r="B37" s="88"/>
      <c r="C37" s="88"/>
      <c r="D37" s="88"/>
      <c r="E37" s="88"/>
      <c r="F37" s="88"/>
      <c r="G37" s="88"/>
      <c r="H37" s="88"/>
    </row>
    <row r="38" spans="1:8" x14ac:dyDescent="0.45">
      <c r="A38" s="87" t="s">
        <v>60</v>
      </c>
      <c r="B38" s="88"/>
      <c r="C38" s="88"/>
      <c r="D38" s="88"/>
      <c r="E38" s="88"/>
      <c r="F38" s="88"/>
      <c r="G38" s="88"/>
      <c r="H38" s="88"/>
    </row>
    <row r="39" spans="1:8" x14ac:dyDescent="0.45">
      <c r="A39" s="87" t="s">
        <v>61</v>
      </c>
      <c r="B39" s="88"/>
      <c r="C39" s="88"/>
      <c r="D39" s="88"/>
      <c r="E39" s="88"/>
      <c r="F39" s="88"/>
      <c r="G39" s="88"/>
      <c r="H39" s="88"/>
    </row>
    <row r="41" spans="1:8" x14ac:dyDescent="0.45">
      <c r="A41" s="89" t="s">
        <v>62</v>
      </c>
      <c r="B41" s="88"/>
      <c r="C41" s="88"/>
      <c r="D41" s="88"/>
      <c r="E41" s="88"/>
      <c r="F41" s="88"/>
      <c r="G41" s="88"/>
      <c r="H41" s="88"/>
    </row>
    <row r="42" spans="1:8" x14ac:dyDescent="0.45">
      <c r="A42" s="34" t="s">
        <v>63</v>
      </c>
      <c r="B42" s="35">
        <f>F16</f>
        <v>2.09</v>
      </c>
    </row>
    <row r="43" spans="1:8" x14ac:dyDescent="0.45">
      <c r="A43" s="36" t="s">
        <v>64</v>
      </c>
      <c r="B43" s="37">
        <f>F31</f>
        <v>877.8</v>
      </c>
    </row>
    <row r="44" spans="1:8" ht="18" x14ac:dyDescent="0.45">
      <c r="A44" s="38" t="s">
        <v>65</v>
      </c>
      <c r="B44" s="39">
        <f>IF(B42&gt;0,B43/B42,"N/A")</f>
        <v>420</v>
      </c>
    </row>
    <row r="45" spans="1:8" x14ac:dyDescent="0.45">
      <c r="A45" s="91" t="s">
        <v>66</v>
      </c>
      <c r="B45" s="88"/>
      <c r="C45" s="88"/>
      <c r="D45" s="88"/>
      <c r="E45" s="88"/>
      <c r="F45" s="88"/>
      <c r="G45" s="88"/>
      <c r="H45" s="88"/>
    </row>
    <row r="47" spans="1:8" x14ac:dyDescent="0.45">
      <c r="A47" s="89" t="s">
        <v>67</v>
      </c>
      <c r="B47" s="88"/>
      <c r="C47" s="88"/>
      <c r="D47" s="88"/>
      <c r="E47" s="88"/>
      <c r="F47" s="88"/>
      <c r="G47" s="88"/>
      <c r="H47" s="88"/>
    </row>
    <row r="48" spans="1:8" x14ac:dyDescent="0.45">
      <c r="A48" s="8" t="s">
        <v>17</v>
      </c>
      <c r="B48" s="8" t="s">
        <v>68</v>
      </c>
      <c r="C48" s="8" t="s">
        <v>69</v>
      </c>
      <c r="D48" s="8" t="s">
        <v>70</v>
      </c>
      <c r="E48" s="8"/>
      <c r="F48" s="8"/>
      <c r="G48" s="8"/>
      <c r="H48" s="8"/>
    </row>
    <row r="49" spans="1:4" x14ac:dyDescent="0.45">
      <c r="A49" s="40" t="s">
        <v>71</v>
      </c>
      <c r="B49" s="41">
        <f>F26</f>
        <v>85.8</v>
      </c>
      <c r="C49" s="41">
        <f>G26</f>
        <v>1029.5999999999999</v>
      </c>
      <c r="D49" s="42" t="s">
        <v>72</v>
      </c>
    </row>
    <row r="50" spans="1:4" x14ac:dyDescent="0.45">
      <c r="A50" s="40" t="s">
        <v>73</v>
      </c>
      <c r="B50" s="41">
        <f>F30</f>
        <v>143</v>
      </c>
      <c r="C50" s="41">
        <f>G30</f>
        <v>1716</v>
      </c>
      <c r="D50" s="43">
        <f>IF(F26&gt;0,F30/F26,0)</f>
        <v>1.6666666666666667</v>
      </c>
    </row>
    <row r="51" spans="1:4" x14ac:dyDescent="0.45">
      <c r="A51" s="40" t="s">
        <v>74</v>
      </c>
      <c r="B51" s="41">
        <f>F24</f>
        <v>73.150000000000006</v>
      </c>
      <c r="C51" s="41">
        <f>G24</f>
        <v>877.80000000000007</v>
      </c>
      <c r="D51" s="44">
        <f>IF(F26&gt;0,F24/F26,0)</f>
        <v>0.85256410256410264</v>
      </c>
    </row>
  </sheetData>
  <mergeCells count="11">
    <mergeCell ref="A47:H47"/>
    <mergeCell ref="A5:H5"/>
    <mergeCell ref="A37:H37"/>
    <mergeCell ref="A1:H1"/>
    <mergeCell ref="A45:H45"/>
    <mergeCell ref="A3:H3"/>
    <mergeCell ref="A39:H39"/>
    <mergeCell ref="A38:H38"/>
    <mergeCell ref="A2:H2"/>
    <mergeCell ref="A41:H41"/>
    <mergeCell ref="A14:H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7AE60"/>
  </sheetPr>
  <dimension ref="A1:F29"/>
  <sheetViews>
    <sheetView workbookViewId="0">
      <selection sqref="A1:F1"/>
    </sheetView>
  </sheetViews>
  <sheetFormatPr baseColWidth="10" defaultColWidth="9.06640625" defaultRowHeight="14.25" x14ac:dyDescent="0.45"/>
  <cols>
    <col min="1" max="1" width="34" customWidth="1"/>
    <col min="2" max="2" width="20" customWidth="1"/>
    <col min="3" max="5" width="18" customWidth="1"/>
    <col min="6" max="6" width="22" customWidth="1"/>
  </cols>
  <sheetData>
    <row r="1" spans="1:6" x14ac:dyDescent="0.45">
      <c r="A1" s="90" t="s">
        <v>75</v>
      </c>
      <c r="B1" s="88"/>
      <c r="C1" s="88"/>
      <c r="D1" s="88"/>
      <c r="E1" s="88"/>
      <c r="F1" s="88"/>
    </row>
    <row r="2" spans="1:6" x14ac:dyDescent="0.45">
      <c r="A2" s="87" t="s">
        <v>76</v>
      </c>
      <c r="B2" s="88"/>
      <c r="C2" s="88"/>
      <c r="D2" s="88"/>
      <c r="E2" s="88"/>
      <c r="F2" s="88"/>
    </row>
    <row r="4" spans="1:6" x14ac:dyDescent="0.45">
      <c r="A4" s="89" t="s">
        <v>77</v>
      </c>
      <c r="B4" s="88"/>
      <c r="C4" s="88"/>
      <c r="D4" s="88"/>
      <c r="E4" s="88"/>
      <c r="F4" s="88"/>
    </row>
    <row r="5" spans="1:6" ht="34.9" x14ac:dyDescent="0.45">
      <c r="A5" s="2" t="s">
        <v>78</v>
      </c>
      <c r="B5" s="5">
        <v>0.7</v>
      </c>
      <c r="C5" s="4" t="s">
        <v>79</v>
      </c>
    </row>
    <row r="6" spans="1:6" ht="23.25" x14ac:dyDescent="0.45">
      <c r="A6" s="2" t="s">
        <v>80</v>
      </c>
      <c r="B6" s="5">
        <v>0.2</v>
      </c>
      <c r="C6" s="4" t="s">
        <v>81</v>
      </c>
    </row>
    <row r="7" spans="1:6" ht="34.9" x14ac:dyDescent="0.45">
      <c r="A7" s="2" t="s">
        <v>82</v>
      </c>
      <c r="B7" s="5">
        <v>0.1</v>
      </c>
      <c r="C7" s="4" t="s">
        <v>83</v>
      </c>
    </row>
    <row r="8" spans="1:6" x14ac:dyDescent="0.45">
      <c r="A8" s="38" t="s">
        <v>84</v>
      </c>
      <c r="B8" s="45">
        <f>B5+B6+B7</f>
        <v>0.99999999999999989</v>
      </c>
      <c r="C8" s="1" t="s">
        <v>85</v>
      </c>
    </row>
    <row r="10" spans="1:6" x14ac:dyDescent="0.45">
      <c r="A10" s="89" t="s">
        <v>86</v>
      </c>
      <c r="B10" s="88"/>
      <c r="C10" s="88"/>
      <c r="D10" s="88"/>
      <c r="E10" s="88"/>
      <c r="F10" s="88"/>
    </row>
    <row r="11" spans="1:6" x14ac:dyDescent="0.45">
      <c r="A11" s="40" t="s">
        <v>87</v>
      </c>
      <c r="B11" s="46">
        <f>'Token-Kostenrechner'!B11</f>
        <v>500000</v>
      </c>
    </row>
    <row r="12" spans="1:6" x14ac:dyDescent="0.45">
      <c r="A12" s="40" t="s">
        <v>88</v>
      </c>
      <c r="B12" s="47">
        <f>'Token-Kostenrechner'!B8</f>
        <v>0.6</v>
      </c>
    </row>
    <row r="13" spans="1:6" x14ac:dyDescent="0.45">
      <c r="A13" s="40" t="s">
        <v>89</v>
      </c>
      <c r="B13" s="47">
        <f>'Token-Kostenrechner'!B9</f>
        <v>0.4</v>
      </c>
    </row>
    <row r="14" spans="1:6" x14ac:dyDescent="0.45">
      <c r="A14" s="40" t="s">
        <v>90</v>
      </c>
      <c r="B14" s="46">
        <f>'Token-Kostenrechner'!B10</f>
        <v>22</v>
      </c>
    </row>
    <row r="16" spans="1:6" x14ac:dyDescent="0.45">
      <c r="A16" s="8" t="s">
        <v>91</v>
      </c>
      <c r="B16" s="8" t="s">
        <v>92</v>
      </c>
      <c r="C16" s="8" t="s">
        <v>21</v>
      </c>
      <c r="D16" s="8" t="s">
        <v>22</v>
      </c>
      <c r="E16" s="8" t="s">
        <v>23</v>
      </c>
      <c r="F16" s="8" t="s">
        <v>93</v>
      </c>
    </row>
    <row r="17" spans="1:6" x14ac:dyDescent="0.45">
      <c r="A17" s="36" t="s">
        <v>94</v>
      </c>
      <c r="B17" s="48" t="s">
        <v>95</v>
      </c>
      <c r="C17" s="49">
        <f>(B11*B12*3+B11*B13*15)/1000000</f>
        <v>3.9</v>
      </c>
      <c r="D17" s="49">
        <f>C17*B14</f>
        <v>85.8</v>
      </c>
      <c r="E17" s="49">
        <f>D17*12</f>
        <v>1029.5999999999999</v>
      </c>
      <c r="F17" s="48" t="s">
        <v>53</v>
      </c>
    </row>
    <row r="18" spans="1:6" ht="26.25" x14ac:dyDescent="0.45">
      <c r="A18" s="50" t="s">
        <v>96</v>
      </c>
      <c r="B18" s="51" t="s">
        <v>97</v>
      </c>
      <c r="C18" s="52">
        <f>(B5*B11*(B12*1+B13*5)+B6*B11*(B12*3+B13*15)+B7*B11*(B12*5+B13*25))/1000000</f>
        <v>2.34</v>
      </c>
      <c r="D18" s="52">
        <f>C18*B14</f>
        <v>51.48</v>
      </c>
      <c r="E18" s="52">
        <f>D18*12</f>
        <v>617.76</v>
      </c>
      <c r="F18" s="53">
        <f>IF(E17&gt;0,1-E18/E17,0)</f>
        <v>0.39999999999999991</v>
      </c>
    </row>
    <row r="19" spans="1:6" ht="26.25" x14ac:dyDescent="0.45">
      <c r="A19" s="50" t="s">
        <v>98</v>
      </c>
      <c r="B19" s="51" t="s">
        <v>99</v>
      </c>
      <c r="C19" s="52">
        <f>(B5*B11*(B12*0.25+B13*2)+B6*B11*(B12*1.75+B13*14)+B7*B11*(B12*21+B13*168))/1000000</f>
        <v>4.9874999999999998</v>
      </c>
      <c r="D19" s="52">
        <f>C19*B14</f>
        <v>109.72499999999999</v>
      </c>
      <c r="E19" s="52">
        <f>D19*12</f>
        <v>1316.6999999999998</v>
      </c>
      <c r="F19" s="53">
        <f>IF(E17&gt;0,1-E19/E17,0)</f>
        <v>-0.27884615384615374</v>
      </c>
    </row>
    <row r="21" spans="1:6" ht="33.75" x14ac:dyDescent="0.45">
      <c r="A21" s="54" t="s">
        <v>100</v>
      </c>
      <c r="B21" s="55">
        <f>E17-E18</f>
        <v>411.83999999999992</v>
      </c>
    </row>
    <row r="23" spans="1:6" x14ac:dyDescent="0.45">
      <c r="A23" s="89" t="s">
        <v>101</v>
      </c>
      <c r="B23" s="88"/>
      <c r="C23" s="88"/>
      <c r="D23" s="88"/>
      <c r="E23" s="88"/>
      <c r="F23" s="88"/>
    </row>
    <row r="24" spans="1:6" x14ac:dyDescent="0.45">
      <c r="A24" s="8" t="s">
        <v>91</v>
      </c>
      <c r="B24" s="8" t="s">
        <v>92</v>
      </c>
      <c r="C24" s="8" t="s">
        <v>21</v>
      </c>
      <c r="D24" s="8" t="s">
        <v>22</v>
      </c>
      <c r="E24" s="8" t="s">
        <v>23</v>
      </c>
      <c r="F24" s="8" t="s">
        <v>102</v>
      </c>
    </row>
    <row r="25" spans="1:6" x14ac:dyDescent="0.45">
      <c r="A25" s="36" t="s">
        <v>103</v>
      </c>
      <c r="B25" s="48" t="s">
        <v>95</v>
      </c>
      <c r="C25" s="49">
        <f>(7500000*0.6*3+7500000*0.4*15)/1000000</f>
        <v>58.5</v>
      </c>
      <c r="D25" s="49">
        <f>C25*22</f>
        <v>1287</v>
      </c>
      <c r="E25" s="49">
        <f>D25*12</f>
        <v>15444</v>
      </c>
      <c r="F25" s="48" t="s">
        <v>53</v>
      </c>
    </row>
    <row r="26" spans="1:6" ht="26.25" x14ac:dyDescent="0.45">
      <c r="A26" s="50" t="s">
        <v>104</v>
      </c>
      <c r="B26" s="51" t="s">
        <v>97</v>
      </c>
      <c r="C26" s="52">
        <f>(0.7*7500000*(0.6*1+0.4*5)+0.2*7500000*(0.6*3+0.4*15)+0.1*7500000*(0.6*5+0.4*25))/1000000</f>
        <v>35.1</v>
      </c>
      <c r="D26" s="52">
        <f>C26*22</f>
        <v>772.2</v>
      </c>
      <c r="E26" s="52">
        <f>D26*12</f>
        <v>9266.4000000000015</v>
      </c>
      <c r="F26" s="53">
        <f>IF(E25&gt;0,1-E26/E25,0)</f>
        <v>0.39999999999999991</v>
      </c>
    </row>
    <row r="27" spans="1:6" ht="18" x14ac:dyDescent="0.45">
      <c r="A27" s="54" t="s">
        <v>105</v>
      </c>
      <c r="B27" s="55">
        <f>E25-E26</f>
        <v>6177.5999999999985</v>
      </c>
    </row>
    <row r="29" spans="1:6" x14ac:dyDescent="0.45">
      <c r="A29" s="87" t="s">
        <v>106</v>
      </c>
      <c r="B29" s="88"/>
      <c r="C29" s="88"/>
      <c r="D29" s="88"/>
      <c r="E29" s="88"/>
      <c r="F29" s="88"/>
    </row>
  </sheetData>
  <mergeCells count="6">
    <mergeCell ref="A29:F29"/>
    <mergeCell ref="A2:F2"/>
    <mergeCell ref="A10:F10"/>
    <mergeCell ref="A1:F1"/>
    <mergeCell ref="A23:F23"/>
    <mergeCell ref="A4:F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39C12"/>
  </sheetPr>
  <dimension ref="A1:E36"/>
  <sheetViews>
    <sheetView workbookViewId="0"/>
  </sheetViews>
  <sheetFormatPr baseColWidth="10" defaultColWidth="9.06640625" defaultRowHeight="14.25" x14ac:dyDescent="0.45"/>
  <cols>
    <col min="1" max="1" width="32" customWidth="1"/>
    <col min="2" max="4" width="20" customWidth="1"/>
    <col min="5" max="5" width="24" customWidth="1"/>
  </cols>
  <sheetData>
    <row r="1" spans="1:5" x14ac:dyDescent="0.45">
      <c r="A1" s="90" t="s">
        <v>107</v>
      </c>
      <c r="B1" s="88"/>
      <c r="C1" s="88"/>
      <c r="D1" s="88"/>
      <c r="E1" s="88"/>
    </row>
    <row r="2" spans="1:5" x14ac:dyDescent="0.45">
      <c r="A2" s="87" t="s">
        <v>108</v>
      </c>
      <c r="B2" s="88"/>
      <c r="C2" s="88"/>
      <c r="D2" s="88"/>
      <c r="E2" s="88"/>
    </row>
    <row r="4" spans="1:5" ht="26.25" x14ac:dyDescent="0.45">
      <c r="A4" s="8" t="s">
        <v>109</v>
      </c>
      <c r="B4" s="8" t="s">
        <v>110</v>
      </c>
      <c r="C4" s="8" t="s">
        <v>111</v>
      </c>
      <c r="D4" s="8" t="s">
        <v>112</v>
      </c>
      <c r="E4" s="8" t="s">
        <v>113</v>
      </c>
    </row>
    <row r="5" spans="1:5" x14ac:dyDescent="0.45">
      <c r="A5" s="56" t="s">
        <v>114</v>
      </c>
      <c r="B5" s="56"/>
      <c r="C5" s="56"/>
      <c r="D5" s="56"/>
      <c r="E5" s="56"/>
    </row>
    <row r="6" spans="1:5" x14ac:dyDescent="0.45">
      <c r="A6" s="40" t="s">
        <v>115</v>
      </c>
      <c r="B6" s="57">
        <v>2000</v>
      </c>
      <c r="C6" s="57">
        <v>5000</v>
      </c>
      <c r="D6" s="57">
        <v>25000</v>
      </c>
      <c r="E6" s="58" t="s">
        <v>116</v>
      </c>
    </row>
    <row r="7" spans="1:5" x14ac:dyDescent="0.45">
      <c r="A7" s="40" t="s">
        <v>117</v>
      </c>
      <c r="B7" s="57">
        <v>3000</v>
      </c>
      <c r="C7" s="57">
        <v>3000</v>
      </c>
      <c r="D7" s="57">
        <v>8000</v>
      </c>
      <c r="E7" s="58" t="s">
        <v>118</v>
      </c>
    </row>
    <row r="8" spans="1:5" x14ac:dyDescent="0.45">
      <c r="A8" s="40" t="s">
        <v>119</v>
      </c>
      <c r="B8" s="57">
        <v>5000</v>
      </c>
      <c r="C8" s="57">
        <v>3000</v>
      </c>
      <c r="D8" s="57">
        <v>8000</v>
      </c>
      <c r="E8" s="58" t="s">
        <v>120</v>
      </c>
    </row>
    <row r="9" spans="1:5" x14ac:dyDescent="0.45">
      <c r="A9" s="59" t="s">
        <v>121</v>
      </c>
      <c r="B9" s="60">
        <f>SUM(B6:B8)</f>
        <v>10000</v>
      </c>
      <c r="C9" s="60">
        <f>SUM(C6:C8)</f>
        <v>11000</v>
      </c>
      <c r="D9" s="60">
        <f>SUM(D6:D8)</f>
        <v>41000</v>
      </c>
    </row>
    <row r="11" spans="1:5" x14ac:dyDescent="0.45">
      <c r="A11" s="56" t="s">
        <v>122</v>
      </c>
      <c r="B11" s="56"/>
      <c r="C11" s="56"/>
      <c r="D11" s="56"/>
      <c r="E11" s="56"/>
    </row>
    <row r="12" spans="1:5" x14ac:dyDescent="0.45">
      <c r="A12" s="40" t="s">
        <v>123</v>
      </c>
      <c r="B12" s="57">
        <v>2500</v>
      </c>
      <c r="C12" s="57">
        <v>3000</v>
      </c>
      <c r="D12" s="57">
        <v>0</v>
      </c>
      <c r="E12" s="58" t="s">
        <v>124</v>
      </c>
    </row>
    <row r="13" spans="1:5" x14ac:dyDescent="0.45">
      <c r="A13" s="40" t="s">
        <v>125</v>
      </c>
      <c r="B13" s="57">
        <v>0</v>
      </c>
      <c r="C13" s="57">
        <v>1500</v>
      </c>
      <c r="D13" s="57">
        <v>0</v>
      </c>
      <c r="E13" s="58" t="s">
        <v>126</v>
      </c>
    </row>
    <row r="14" spans="1:5" x14ac:dyDescent="0.45">
      <c r="A14" s="40" t="s">
        <v>127</v>
      </c>
      <c r="B14" s="57">
        <v>0</v>
      </c>
      <c r="C14" s="57">
        <v>0</v>
      </c>
      <c r="D14" s="57">
        <v>4000</v>
      </c>
      <c r="E14" s="58" t="s">
        <v>128</v>
      </c>
    </row>
    <row r="15" spans="1:5" x14ac:dyDescent="0.45">
      <c r="A15" s="40" t="s">
        <v>129</v>
      </c>
      <c r="B15" s="57">
        <v>500</v>
      </c>
      <c r="C15" s="57">
        <v>500</v>
      </c>
      <c r="D15" s="57">
        <v>3000</v>
      </c>
      <c r="E15" s="58" t="s">
        <v>130</v>
      </c>
    </row>
    <row r="16" spans="1:5" x14ac:dyDescent="0.45">
      <c r="A16" s="40" t="s">
        <v>131</v>
      </c>
      <c r="B16" s="57">
        <v>200</v>
      </c>
      <c r="C16" s="57">
        <v>0</v>
      </c>
      <c r="D16" s="57">
        <v>500</v>
      </c>
      <c r="E16" s="58" t="s">
        <v>132</v>
      </c>
    </row>
    <row r="17" spans="1:5" x14ac:dyDescent="0.45">
      <c r="A17" s="40" t="s">
        <v>133</v>
      </c>
      <c r="B17" s="57">
        <v>100</v>
      </c>
      <c r="C17" s="57">
        <v>0</v>
      </c>
      <c r="D17" s="57">
        <v>300</v>
      </c>
      <c r="E17" s="58"/>
    </row>
    <row r="18" spans="1:5" x14ac:dyDescent="0.45">
      <c r="A18" s="59" t="s">
        <v>134</v>
      </c>
      <c r="B18" s="60">
        <f>SUM(B12:B17)</f>
        <v>3300</v>
      </c>
      <c r="C18" s="60">
        <f>SUM(C12:C17)</f>
        <v>5000</v>
      </c>
      <c r="D18" s="60">
        <f>SUM(D12:D17)</f>
        <v>7800</v>
      </c>
    </row>
    <row r="20" spans="1:5" x14ac:dyDescent="0.45">
      <c r="A20" s="56" t="s">
        <v>135</v>
      </c>
      <c r="B20" s="56"/>
      <c r="C20" s="56"/>
      <c r="D20" s="56"/>
      <c r="E20" s="56"/>
    </row>
    <row r="21" spans="1:5" x14ac:dyDescent="0.45">
      <c r="A21" s="40" t="s">
        <v>136</v>
      </c>
      <c r="B21" s="57">
        <f>B9</f>
        <v>10000</v>
      </c>
      <c r="C21" s="57">
        <f>C9</f>
        <v>11000</v>
      </c>
      <c r="D21" s="57">
        <f>D9</f>
        <v>41000</v>
      </c>
    </row>
    <row r="22" spans="1:5" x14ac:dyDescent="0.45">
      <c r="A22" s="40" t="s">
        <v>137</v>
      </c>
      <c r="B22" s="57">
        <f>B18*12</f>
        <v>39600</v>
      </c>
      <c r="C22" s="57">
        <f>C18*12</f>
        <v>60000</v>
      </c>
      <c r="D22" s="57">
        <f>D18*12</f>
        <v>93600</v>
      </c>
    </row>
    <row r="23" spans="1:5" ht="15.75" x14ac:dyDescent="0.45">
      <c r="A23" s="61" t="s">
        <v>138</v>
      </c>
      <c r="B23" s="62">
        <f>B21+B22</f>
        <v>49600</v>
      </c>
      <c r="C23" s="62">
        <f>C21+C22</f>
        <v>71000</v>
      </c>
      <c r="D23" s="62">
        <f>D21+D22</f>
        <v>134600</v>
      </c>
      <c r="E23" s="61"/>
    </row>
    <row r="26" spans="1:5" x14ac:dyDescent="0.45">
      <c r="A26" s="89" t="s">
        <v>139</v>
      </c>
      <c r="B26" s="88"/>
      <c r="C26" s="88"/>
      <c r="D26" s="88"/>
      <c r="E26" s="88"/>
    </row>
    <row r="27" spans="1:5" x14ac:dyDescent="0.45">
      <c r="A27" s="8" t="s">
        <v>140</v>
      </c>
      <c r="B27" s="8" t="s">
        <v>141</v>
      </c>
      <c r="C27" s="8" t="s">
        <v>142</v>
      </c>
      <c r="D27" s="8" t="s">
        <v>143</v>
      </c>
      <c r="E27" s="8" t="s">
        <v>144</v>
      </c>
    </row>
    <row r="28" spans="1:5" x14ac:dyDescent="0.45">
      <c r="A28" s="40" t="s">
        <v>145</v>
      </c>
      <c r="B28" s="63" t="s">
        <v>146</v>
      </c>
      <c r="C28" s="63" t="s">
        <v>147</v>
      </c>
      <c r="D28" s="63" t="s">
        <v>148</v>
      </c>
      <c r="E28" s="42" t="s">
        <v>149</v>
      </c>
    </row>
    <row r="29" spans="1:5" x14ac:dyDescent="0.45">
      <c r="A29" s="64" t="s">
        <v>150</v>
      </c>
      <c r="B29" s="65" t="s">
        <v>151</v>
      </c>
      <c r="C29" s="65" t="s">
        <v>152</v>
      </c>
      <c r="D29" s="65" t="s">
        <v>153</v>
      </c>
      <c r="E29" s="66" t="s">
        <v>149</v>
      </c>
    </row>
    <row r="30" spans="1:5" x14ac:dyDescent="0.45">
      <c r="A30" s="40" t="s">
        <v>154</v>
      </c>
      <c r="B30" s="63" t="s">
        <v>155</v>
      </c>
      <c r="C30" s="63" t="s">
        <v>156</v>
      </c>
      <c r="D30" s="63" t="s">
        <v>157</v>
      </c>
      <c r="E30" s="42" t="s">
        <v>158</v>
      </c>
    </row>
    <row r="31" spans="1:5" x14ac:dyDescent="0.45">
      <c r="A31" s="64" t="s">
        <v>159</v>
      </c>
      <c r="B31" s="65" t="s">
        <v>160</v>
      </c>
      <c r="C31" s="65" t="s">
        <v>161</v>
      </c>
      <c r="D31" s="65" t="s">
        <v>162</v>
      </c>
      <c r="E31" s="66" t="s">
        <v>163</v>
      </c>
    </row>
    <row r="32" spans="1:5" x14ac:dyDescent="0.45">
      <c r="A32" s="40" t="s">
        <v>164</v>
      </c>
      <c r="B32" s="63" t="s">
        <v>165</v>
      </c>
      <c r="C32" s="63" t="s">
        <v>166</v>
      </c>
      <c r="D32" s="63" t="s">
        <v>167</v>
      </c>
      <c r="E32" s="42" t="s">
        <v>158</v>
      </c>
    </row>
    <row r="33" spans="1:5" x14ac:dyDescent="0.45">
      <c r="A33" s="64" t="s">
        <v>168</v>
      </c>
      <c r="B33" s="65" t="s">
        <v>169</v>
      </c>
      <c r="C33" s="65" t="s">
        <v>170</v>
      </c>
      <c r="D33" s="65" t="s">
        <v>171</v>
      </c>
      <c r="E33" s="66" t="s">
        <v>158</v>
      </c>
    </row>
    <row r="34" spans="1:5" x14ac:dyDescent="0.45">
      <c r="A34" s="40" t="s">
        <v>172</v>
      </c>
      <c r="B34" s="63" t="s">
        <v>173</v>
      </c>
      <c r="C34" s="63" t="s">
        <v>157</v>
      </c>
      <c r="D34" s="63" t="s">
        <v>174</v>
      </c>
      <c r="E34" s="42" t="s">
        <v>158</v>
      </c>
    </row>
    <row r="35" spans="1:5" x14ac:dyDescent="0.45">
      <c r="A35" s="64" t="s">
        <v>175</v>
      </c>
      <c r="B35" s="65" t="s">
        <v>176</v>
      </c>
      <c r="C35" s="65" t="s">
        <v>177</v>
      </c>
      <c r="D35" s="65" t="s">
        <v>178</v>
      </c>
      <c r="E35" s="66" t="s">
        <v>149</v>
      </c>
    </row>
    <row r="36" spans="1:5" ht="26.25" x14ac:dyDescent="0.45">
      <c r="A36" s="59" t="s">
        <v>179</v>
      </c>
      <c r="B36" s="63" t="s">
        <v>180</v>
      </c>
      <c r="C36" s="63" t="s">
        <v>181</v>
      </c>
      <c r="D36" s="63" t="s">
        <v>182</v>
      </c>
      <c r="E36" s="42"/>
    </row>
  </sheetData>
  <mergeCells count="3">
    <mergeCell ref="A2:E2"/>
    <mergeCell ref="A1:E1"/>
    <mergeCell ref="A26:E2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44AD"/>
  </sheetPr>
  <dimension ref="A1:I119"/>
  <sheetViews>
    <sheetView zoomScale="90" workbookViewId="0"/>
  </sheetViews>
  <sheetFormatPr baseColWidth="10" defaultColWidth="9.06640625" defaultRowHeight="14.25" x14ac:dyDescent="0.45"/>
  <cols>
    <col min="1" max="1" width="36" customWidth="1"/>
    <col min="2" max="8" width="18" customWidth="1"/>
    <col min="9" max="9" width="26" customWidth="1"/>
  </cols>
  <sheetData>
    <row r="1" spans="1:9" ht="21.95" customHeight="1" x14ac:dyDescent="0.45">
      <c r="A1" s="90" t="s">
        <v>183</v>
      </c>
      <c r="B1" s="88"/>
      <c r="C1" s="88"/>
      <c r="D1" s="88"/>
      <c r="E1" s="88"/>
      <c r="F1" s="88"/>
      <c r="G1" s="88"/>
      <c r="H1" s="88"/>
      <c r="I1" s="88"/>
    </row>
    <row r="2" spans="1:9" ht="21.95" customHeight="1" x14ac:dyDescent="0.45">
      <c r="A2" s="87" t="s">
        <v>184</v>
      </c>
      <c r="B2" s="88"/>
      <c r="C2" s="88"/>
      <c r="D2" s="88"/>
      <c r="E2" s="88"/>
      <c r="F2" s="88"/>
      <c r="G2" s="88"/>
      <c r="H2" s="88"/>
      <c r="I2" s="88"/>
    </row>
    <row r="3" spans="1:9" ht="21.95" customHeight="1" x14ac:dyDescent="0.45"/>
    <row r="4" spans="1:9" ht="21.95" customHeight="1" x14ac:dyDescent="0.45">
      <c r="A4" s="89" t="s">
        <v>185</v>
      </c>
      <c r="B4" s="88"/>
      <c r="C4" s="88"/>
      <c r="D4" s="88"/>
      <c r="E4" s="88"/>
      <c r="F4" s="88"/>
      <c r="G4" s="88"/>
      <c r="H4" s="88"/>
      <c r="I4" s="88"/>
    </row>
    <row r="5" spans="1:9" ht="21.95" customHeight="1" x14ac:dyDescent="0.45">
      <c r="A5" s="2" t="s">
        <v>186</v>
      </c>
      <c r="B5" s="3">
        <v>25</v>
      </c>
      <c r="C5" s="4" t="s">
        <v>187</v>
      </c>
    </row>
    <row r="6" spans="1:9" ht="21.95" customHeight="1" x14ac:dyDescent="0.45">
      <c r="A6" s="2" t="s">
        <v>188</v>
      </c>
      <c r="B6" s="3">
        <v>20</v>
      </c>
      <c r="C6" s="4" t="s">
        <v>189</v>
      </c>
    </row>
    <row r="7" spans="1:9" ht="21.95" customHeight="1" x14ac:dyDescent="0.45">
      <c r="A7" s="2" t="s">
        <v>190</v>
      </c>
      <c r="B7" s="3">
        <v>1000</v>
      </c>
      <c r="C7" s="4" t="s">
        <v>7</v>
      </c>
    </row>
    <row r="8" spans="1:9" ht="21.95" customHeight="1" x14ac:dyDescent="0.45">
      <c r="A8" s="2" t="s">
        <v>8</v>
      </c>
      <c r="B8" s="5">
        <v>0.6</v>
      </c>
      <c r="C8" s="4" t="s">
        <v>9</v>
      </c>
    </row>
    <row r="9" spans="1:9" ht="21.95" customHeight="1" x14ac:dyDescent="0.45">
      <c r="A9" s="2" t="s">
        <v>12</v>
      </c>
      <c r="B9" s="3">
        <v>22</v>
      </c>
    </row>
    <row r="10" spans="1:9" ht="21.95" customHeight="1" x14ac:dyDescent="0.45"/>
    <row r="11" spans="1:9" ht="21.95" customHeight="1" x14ac:dyDescent="0.45">
      <c r="A11" s="94" t="s">
        <v>191</v>
      </c>
      <c r="B11" s="88"/>
      <c r="C11" s="88"/>
      <c r="D11" s="88"/>
      <c r="E11" s="88"/>
      <c r="F11" s="88"/>
      <c r="G11" s="88"/>
      <c r="H11" s="88"/>
      <c r="I11" s="88"/>
    </row>
    <row r="12" spans="1:9" ht="21.95" customHeight="1" x14ac:dyDescent="0.45">
      <c r="A12" s="34" t="s">
        <v>192</v>
      </c>
      <c r="B12" s="69">
        <f>B5*B6</f>
        <v>500</v>
      </c>
      <c r="C12" s="4" t="e">
        <f>Nutzer * Anfragen/Nutzer/Tag</f>
        <v>#NAME?</v>
      </c>
    </row>
    <row r="13" spans="1:9" ht="21.95" customHeight="1" x14ac:dyDescent="0.45">
      <c r="A13" s="34" t="s">
        <v>193</v>
      </c>
      <c r="B13" s="69">
        <f>B12*B7</f>
        <v>500000</v>
      </c>
    </row>
    <row r="14" spans="1:9" ht="21.95" customHeight="1" x14ac:dyDescent="0.45">
      <c r="A14" s="34" t="s">
        <v>194</v>
      </c>
      <c r="B14" s="69">
        <f>B13*B9</f>
        <v>11000000</v>
      </c>
    </row>
    <row r="15" spans="1:9" ht="21.95" customHeight="1" x14ac:dyDescent="0.45">
      <c r="A15" s="34" t="s">
        <v>195</v>
      </c>
      <c r="B15" s="70">
        <f>(B7*B8*3+B7*(1-B8)*15)/1000000</f>
        <v>7.7999999999999996E-3</v>
      </c>
      <c r="C15" s="4" t="s">
        <v>196</v>
      </c>
    </row>
    <row r="16" spans="1:9" ht="21.95" customHeight="1" x14ac:dyDescent="0.45"/>
    <row r="17" spans="1:9" ht="21.95" customHeight="1" x14ac:dyDescent="0.45">
      <c r="A17" s="89" t="s">
        <v>197</v>
      </c>
      <c r="B17" s="88"/>
      <c r="C17" s="88"/>
      <c r="D17" s="88"/>
      <c r="E17" s="88"/>
      <c r="F17" s="88"/>
      <c r="G17" s="88"/>
      <c r="H17" s="88"/>
      <c r="I17" s="88"/>
    </row>
    <row r="18" spans="1:9" ht="21.95" customHeight="1" x14ac:dyDescent="0.45">
      <c r="A18" s="8" t="s">
        <v>198</v>
      </c>
      <c r="B18" s="8" t="s">
        <v>199</v>
      </c>
      <c r="C18" s="8" t="s">
        <v>200</v>
      </c>
      <c r="D18" s="8" t="s">
        <v>201</v>
      </c>
      <c r="E18" s="8" t="s">
        <v>202</v>
      </c>
      <c r="F18" s="8" t="s">
        <v>203</v>
      </c>
      <c r="G18" s="8" t="s">
        <v>204</v>
      </c>
      <c r="H18" s="8" t="s">
        <v>205</v>
      </c>
      <c r="I18" s="8" t="s">
        <v>179</v>
      </c>
    </row>
    <row r="19" spans="1:9" ht="32.1" customHeight="1" x14ac:dyDescent="0.45">
      <c r="A19" s="40" t="s">
        <v>206</v>
      </c>
      <c r="B19" s="71">
        <v>0</v>
      </c>
      <c r="C19" s="72">
        <v>0</v>
      </c>
      <c r="D19" s="72">
        <v>0</v>
      </c>
      <c r="E19" s="42" t="s">
        <v>207</v>
      </c>
      <c r="F19" s="42" t="s">
        <v>208</v>
      </c>
      <c r="G19" s="42" t="s">
        <v>209</v>
      </c>
      <c r="H19" s="42" t="s">
        <v>210</v>
      </c>
      <c r="I19" s="42" t="s">
        <v>211</v>
      </c>
    </row>
    <row r="20" spans="1:9" ht="32.1" customHeight="1" x14ac:dyDescent="0.45">
      <c r="A20" s="64" t="s">
        <v>212</v>
      </c>
      <c r="B20" s="73">
        <v>20</v>
      </c>
      <c r="C20" s="74">
        <f>B20*$B$5</f>
        <v>500</v>
      </c>
      <c r="D20" s="74">
        <f>C20*12</f>
        <v>6000</v>
      </c>
      <c r="E20" s="66" t="s">
        <v>213</v>
      </c>
      <c r="F20" s="66" t="s">
        <v>214</v>
      </c>
      <c r="G20" s="66" t="s">
        <v>209</v>
      </c>
      <c r="H20" s="66" t="s">
        <v>210</v>
      </c>
      <c r="I20" s="66" t="s">
        <v>215</v>
      </c>
    </row>
    <row r="21" spans="1:9" ht="32.1" customHeight="1" x14ac:dyDescent="0.45">
      <c r="A21" s="40" t="s">
        <v>216</v>
      </c>
      <c r="B21" s="71">
        <v>30</v>
      </c>
      <c r="C21" s="72">
        <f>B21*$B$5</f>
        <v>750</v>
      </c>
      <c r="D21" s="72">
        <f>C21*12</f>
        <v>9000</v>
      </c>
      <c r="E21" s="42" t="s">
        <v>217</v>
      </c>
      <c r="F21" s="42" t="s">
        <v>218</v>
      </c>
      <c r="G21" s="42" t="s">
        <v>219</v>
      </c>
      <c r="H21" s="42" t="s">
        <v>220</v>
      </c>
      <c r="I21" s="42" t="s">
        <v>221</v>
      </c>
    </row>
    <row r="22" spans="1:9" ht="32.1" customHeight="1" x14ac:dyDescent="0.45">
      <c r="A22" s="75" t="s">
        <v>222</v>
      </c>
      <c r="B22" s="66" t="s">
        <v>223</v>
      </c>
      <c r="C22" s="66" t="s">
        <v>53</v>
      </c>
      <c r="D22" s="66" t="s">
        <v>53</v>
      </c>
      <c r="E22" s="66" t="s">
        <v>224</v>
      </c>
      <c r="F22" s="66" t="s">
        <v>225</v>
      </c>
      <c r="G22" s="66" t="s">
        <v>226</v>
      </c>
      <c r="H22" s="66" t="s">
        <v>227</v>
      </c>
      <c r="I22" s="66" t="s">
        <v>228</v>
      </c>
    </row>
    <row r="23" spans="1:9" ht="32.1" customHeight="1" x14ac:dyDescent="0.45">
      <c r="A23" s="40" t="s">
        <v>229</v>
      </c>
      <c r="B23" s="71">
        <v>0</v>
      </c>
      <c r="C23" s="72">
        <v>0</v>
      </c>
      <c r="D23" s="72">
        <v>0</v>
      </c>
      <c r="E23" s="42" t="s">
        <v>230</v>
      </c>
      <c r="F23" s="42" t="s">
        <v>208</v>
      </c>
      <c r="G23" s="42" t="s">
        <v>209</v>
      </c>
      <c r="H23" s="42" t="s">
        <v>210</v>
      </c>
      <c r="I23" s="42" t="s">
        <v>211</v>
      </c>
    </row>
    <row r="24" spans="1:9" ht="32.1" customHeight="1" x14ac:dyDescent="0.45">
      <c r="A24" s="64" t="s">
        <v>231</v>
      </c>
      <c r="B24" s="73">
        <v>20</v>
      </c>
      <c r="C24" s="74">
        <f>B24*$B$5</f>
        <v>500</v>
      </c>
      <c r="D24" s="74">
        <f>C24*12</f>
        <v>6000</v>
      </c>
      <c r="E24" s="66" t="s">
        <v>232</v>
      </c>
      <c r="F24" s="66" t="s">
        <v>233</v>
      </c>
      <c r="G24" s="66" t="s">
        <v>209</v>
      </c>
      <c r="H24" s="66" t="s">
        <v>210</v>
      </c>
      <c r="I24" s="66" t="s">
        <v>215</v>
      </c>
    </row>
    <row r="25" spans="1:9" ht="32.1" customHeight="1" x14ac:dyDescent="0.45">
      <c r="A25" s="40" t="s">
        <v>234</v>
      </c>
      <c r="B25" s="71">
        <v>100</v>
      </c>
      <c r="C25" s="72">
        <f>B25*$B$5</f>
        <v>2500</v>
      </c>
      <c r="D25" s="72">
        <f>C25*12</f>
        <v>30000</v>
      </c>
      <c r="E25" s="42" t="s">
        <v>235</v>
      </c>
      <c r="F25" s="42" t="s">
        <v>236</v>
      </c>
      <c r="G25" s="42" t="s">
        <v>209</v>
      </c>
      <c r="H25" s="42" t="s">
        <v>210</v>
      </c>
      <c r="I25" s="42" t="s">
        <v>237</v>
      </c>
    </row>
    <row r="26" spans="1:9" ht="32.1" customHeight="1" x14ac:dyDescent="0.45">
      <c r="A26" s="64" t="s">
        <v>238</v>
      </c>
      <c r="B26" s="73">
        <v>30</v>
      </c>
      <c r="C26" s="74">
        <f>B26*$B$5</f>
        <v>750</v>
      </c>
      <c r="D26" s="74">
        <f>C26*12</f>
        <v>9000</v>
      </c>
      <c r="E26" s="66" t="s">
        <v>239</v>
      </c>
      <c r="F26" s="66" t="s">
        <v>240</v>
      </c>
      <c r="G26" s="66" t="s">
        <v>219</v>
      </c>
      <c r="H26" s="66" t="s">
        <v>241</v>
      </c>
      <c r="I26" s="66" t="s">
        <v>242</v>
      </c>
    </row>
    <row r="27" spans="1:9" ht="32.1" customHeight="1" x14ac:dyDescent="0.45">
      <c r="A27" s="76" t="s">
        <v>243</v>
      </c>
      <c r="B27" s="42" t="s">
        <v>244</v>
      </c>
      <c r="C27" s="42" t="s">
        <v>53</v>
      </c>
      <c r="D27" s="42" t="s">
        <v>53</v>
      </c>
      <c r="E27" s="42" t="s">
        <v>245</v>
      </c>
      <c r="F27" s="42" t="s">
        <v>225</v>
      </c>
      <c r="G27" s="42" t="s">
        <v>246</v>
      </c>
      <c r="H27" s="42" t="s">
        <v>247</v>
      </c>
      <c r="I27" s="42" t="s">
        <v>228</v>
      </c>
    </row>
    <row r="28" spans="1:9" ht="32.1" customHeight="1" x14ac:dyDescent="0.45">
      <c r="A28" s="64" t="s">
        <v>50</v>
      </c>
      <c r="B28" s="73">
        <v>30</v>
      </c>
      <c r="C28" s="74">
        <f>B28*$B$5</f>
        <v>750</v>
      </c>
      <c r="D28" s="74">
        <f>C28*12</f>
        <v>9000</v>
      </c>
      <c r="E28" s="66" t="s">
        <v>248</v>
      </c>
      <c r="F28" s="66" t="s">
        <v>249</v>
      </c>
      <c r="G28" s="66" t="s">
        <v>250</v>
      </c>
      <c r="H28" s="66" t="s">
        <v>251</v>
      </c>
      <c r="I28" s="66" t="s">
        <v>252</v>
      </c>
    </row>
    <row r="29" spans="1:9" ht="32.1" customHeight="1" x14ac:dyDescent="0.45">
      <c r="A29" s="40" t="s">
        <v>253</v>
      </c>
      <c r="B29" s="71">
        <v>14</v>
      </c>
      <c r="C29" s="72">
        <f>B29*$B$5</f>
        <v>350</v>
      </c>
      <c r="D29" s="72">
        <f>C29*12</f>
        <v>4200</v>
      </c>
      <c r="E29" s="42" t="s">
        <v>254</v>
      </c>
      <c r="F29" s="42" t="s">
        <v>203</v>
      </c>
      <c r="G29" s="42" t="s">
        <v>255</v>
      </c>
      <c r="H29" s="42" t="s">
        <v>256</v>
      </c>
      <c r="I29" s="42" t="s">
        <v>257</v>
      </c>
    </row>
    <row r="30" spans="1:9" ht="32.1" customHeight="1" x14ac:dyDescent="0.45">
      <c r="A30" s="64" t="s">
        <v>258</v>
      </c>
      <c r="B30" s="73">
        <v>36</v>
      </c>
      <c r="C30" s="74">
        <f>B30*$B$5</f>
        <v>900</v>
      </c>
      <c r="D30" s="74">
        <f>C30*12</f>
        <v>10800</v>
      </c>
      <c r="E30" s="66" t="s">
        <v>259</v>
      </c>
      <c r="F30" s="66" t="s">
        <v>240</v>
      </c>
      <c r="G30" s="66" t="s">
        <v>255</v>
      </c>
      <c r="H30" s="66" t="s">
        <v>256</v>
      </c>
      <c r="I30" s="66" t="s">
        <v>257</v>
      </c>
    </row>
    <row r="31" spans="1:9" ht="21.95" customHeight="1" x14ac:dyDescent="0.45">
      <c r="A31" s="91" t="s">
        <v>260</v>
      </c>
      <c r="B31" s="88"/>
      <c r="C31" s="88"/>
      <c r="D31" s="88"/>
      <c r="E31" s="88"/>
      <c r="F31" s="88"/>
      <c r="G31" s="88"/>
      <c r="H31" s="88"/>
      <c r="I31" s="88"/>
    </row>
    <row r="32" spans="1:9" ht="21.95" customHeight="1" x14ac:dyDescent="0.45"/>
    <row r="33" spans="1:9" ht="21.95" customHeight="1" x14ac:dyDescent="0.45">
      <c r="A33" s="89" t="s">
        <v>261</v>
      </c>
      <c r="B33" s="88"/>
      <c r="C33" s="88"/>
      <c r="D33" s="88"/>
      <c r="E33" s="88"/>
      <c r="F33" s="88"/>
      <c r="G33" s="88"/>
      <c r="H33" s="88"/>
      <c r="I33" s="88"/>
    </row>
    <row r="34" spans="1:9" ht="21.95" customHeight="1" x14ac:dyDescent="0.45">
      <c r="A34" s="87" t="s">
        <v>262</v>
      </c>
      <c r="B34" s="88"/>
      <c r="C34" s="88"/>
      <c r="D34" s="88"/>
      <c r="E34" s="88"/>
      <c r="F34" s="88"/>
      <c r="G34" s="88"/>
      <c r="H34" s="88"/>
      <c r="I34" s="88"/>
    </row>
    <row r="35" spans="1:9" ht="21.95" customHeight="1" x14ac:dyDescent="0.45">
      <c r="A35" s="8" t="s">
        <v>263</v>
      </c>
      <c r="B35" s="8" t="s">
        <v>18</v>
      </c>
      <c r="C35" s="8" t="s">
        <v>200</v>
      </c>
      <c r="D35" s="8" t="s">
        <v>201</v>
      </c>
      <c r="E35" s="8" t="s">
        <v>264</v>
      </c>
      <c r="F35" s="8" t="s">
        <v>265</v>
      </c>
      <c r="G35" s="8" t="s">
        <v>266</v>
      </c>
      <c r="H35" s="8" t="s">
        <v>267</v>
      </c>
      <c r="I35" s="8" t="s">
        <v>179</v>
      </c>
    </row>
    <row r="36" spans="1:9" ht="21.95" customHeight="1" x14ac:dyDescent="0.45">
      <c r="A36" s="77" t="s">
        <v>268</v>
      </c>
      <c r="B36" s="10" t="s">
        <v>30</v>
      </c>
      <c r="C36" s="12">
        <f>(B13*B8*3+B13*(1-B8)*15)/1000000*B9</f>
        <v>85.8</v>
      </c>
      <c r="D36" s="12">
        <f>C36*12</f>
        <v>1029.5999999999999</v>
      </c>
      <c r="E36" s="78">
        <f>IF(B12&gt;0,C36/(B12*B9),"—")</f>
        <v>7.7999999999999996E-3</v>
      </c>
      <c r="F36" s="13" t="s">
        <v>209</v>
      </c>
      <c r="G36" s="13" t="s">
        <v>269</v>
      </c>
      <c r="H36" s="13" t="s">
        <v>270</v>
      </c>
      <c r="I36" s="13" t="s">
        <v>271</v>
      </c>
    </row>
    <row r="37" spans="1:9" ht="21.95" customHeight="1" x14ac:dyDescent="0.45">
      <c r="A37" s="77" t="s">
        <v>272</v>
      </c>
      <c r="B37" s="10" t="s">
        <v>30</v>
      </c>
      <c r="C37" s="12">
        <f>(B13*B8*5+B13*(1-B8)*25)/1000000*B9</f>
        <v>143</v>
      </c>
      <c r="D37" s="12">
        <f>C37*12</f>
        <v>1716</v>
      </c>
      <c r="E37" s="78">
        <f>IF(B12&gt;0,C37/(B12*B9),"—")</f>
        <v>1.2999999999999999E-2</v>
      </c>
      <c r="F37" s="13" t="s">
        <v>209</v>
      </c>
      <c r="G37" s="13" t="s">
        <v>273</v>
      </c>
      <c r="H37" s="13" t="s">
        <v>270</v>
      </c>
      <c r="I37" s="13" t="s">
        <v>274</v>
      </c>
    </row>
    <row r="38" spans="1:9" ht="21.95" customHeight="1" x14ac:dyDescent="0.45">
      <c r="A38" s="77" t="s">
        <v>275</v>
      </c>
      <c r="B38" s="10" t="s">
        <v>26</v>
      </c>
      <c r="C38" s="12">
        <f>(B13*B8*1.75+B13*(1-B8)*14)/1000000*B9</f>
        <v>73.150000000000006</v>
      </c>
      <c r="D38" s="12">
        <f>C38*12</f>
        <v>877.80000000000007</v>
      </c>
      <c r="E38" s="78">
        <f>IF(B12&gt;0,C38/(B12*B9),"—")</f>
        <v>6.6500000000000005E-3</v>
      </c>
      <c r="F38" s="13" t="s">
        <v>209</v>
      </c>
      <c r="G38" s="13" t="s">
        <v>273</v>
      </c>
      <c r="H38" s="13" t="s">
        <v>270</v>
      </c>
      <c r="I38" s="13" t="s">
        <v>271</v>
      </c>
    </row>
    <row r="39" spans="1:9" ht="21.95" customHeight="1" x14ac:dyDescent="0.45">
      <c r="A39" s="77" t="s">
        <v>276</v>
      </c>
      <c r="B39" s="10" t="s">
        <v>33</v>
      </c>
      <c r="C39" s="12">
        <f>(B13*B8*1.25+B13*(1-B8)*10)/1000000*B9</f>
        <v>52.25</v>
      </c>
      <c r="D39" s="12">
        <f>C39*12</f>
        <v>627</v>
      </c>
      <c r="E39" s="78">
        <f>IF(B12&gt;0,C39/(B12*B9),"—")</f>
        <v>4.7499999999999999E-3</v>
      </c>
      <c r="F39" s="13" t="s">
        <v>277</v>
      </c>
      <c r="G39" s="13" t="s">
        <v>273</v>
      </c>
      <c r="H39" s="13" t="s">
        <v>270</v>
      </c>
      <c r="I39" s="13" t="s">
        <v>271</v>
      </c>
    </row>
    <row r="40" spans="1:9" ht="21.95" customHeight="1" x14ac:dyDescent="0.45">
      <c r="A40" s="77" t="s">
        <v>278</v>
      </c>
      <c r="B40" s="10" t="s">
        <v>26</v>
      </c>
      <c r="C40" s="12">
        <f>(B13*B8*0.25+B13*(1-B8)*2)/1000000*B9</f>
        <v>10.45</v>
      </c>
      <c r="D40" s="12">
        <f>C40*12</f>
        <v>125.39999999999999</v>
      </c>
      <c r="E40" s="78">
        <f>IF(B12&gt;0,C40/(B12*B9),"—")</f>
        <v>9.4999999999999989E-4</v>
      </c>
      <c r="F40" s="13" t="s">
        <v>209</v>
      </c>
      <c r="G40" s="13" t="s">
        <v>273</v>
      </c>
      <c r="H40" s="13" t="s">
        <v>270</v>
      </c>
      <c r="I40" s="13" t="s">
        <v>279</v>
      </c>
    </row>
    <row r="41" spans="1:9" ht="21.95" customHeight="1" x14ac:dyDescent="0.45"/>
    <row r="42" spans="1:9" ht="21.95" customHeight="1" x14ac:dyDescent="0.45">
      <c r="A42" s="79" t="s">
        <v>280</v>
      </c>
      <c r="B42" s="15" t="s">
        <v>26</v>
      </c>
      <c r="C42" s="17">
        <f>30*B5</f>
        <v>750</v>
      </c>
      <c r="D42" s="17">
        <f>C42*12</f>
        <v>9000</v>
      </c>
      <c r="E42" s="80">
        <f>IF(B12&gt;0,C42/(B12*B9),"—")</f>
        <v>6.8181818181818177E-2</v>
      </c>
      <c r="F42" s="18" t="s">
        <v>281</v>
      </c>
      <c r="G42" s="18" t="s">
        <v>282</v>
      </c>
      <c r="H42" s="18" t="s">
        <v>283</v>
      </c>
      <c r="I42" s="18" t="s">
        <v>284</v>
      </c>
    </row>
    <row r="43" spans="1:9" ht="21.95" customHeight="1" x14ac:dyDescent="0.45">
      <c r="A43" s="79" t="s">
        <v>285</v>
      </c>
      <c r="B43" s="15" t="s">
        <v>30</v>
      </c>
      <c r="C43" s="17">
        <f>30*B5</f>
        <v>750</v>
      </c>
      <c r="D43" s="17">
        <f>C43*12</f>
        <v>9000</v>
      </c>
      <c r="E43" s="80">
        <f>IF(B12&gt;0,C43/(B12*B9),"—")</f>
        <v>6.8181818181818177E-2</v>
      </c>
      <c r="F43" s="18" t="s">
        <v>281</v>
      </c>
      <c r="G43" s="18" t="s">
        <v>282</v>
      </c>
      <c r="H43" s="18" t="s">
        <v>283</v>
      </c>
      <c r="I43" s="18" t="s">
        <v>284</v>
      </c>
    </row>
    <row r="44" spans="1:9" ht="21.95" customHeight="1" x14ac:dyDescent="0.45">
      <c r="A44" s="79" t="s">
        <v>286</v>
      </c>
      <c r="B44" s="15" t="s">
        <v>30</v>
      </c>
      <c r="C44" s="17">
        <f>20*B5</f>
        <v>500</v>
      </c>
      <c r="D44" s="17">
        <f>C44*12</f>
        <v>6000</v>
      </c>
      <c r="E44" s="80">
        <f>IF(B12&gt;0,C44/(B12*B9),"—")</f>
        <v>4.5454545454545456E-2</v>
      </c>
      <c r="F44" s="18" t="s">
        <v>209</v>
      </c>
      <c r="G44" s="18" t="s">
        <v>287</v>
      </c>
      <c r="H44" s="18" t="s">
        <v>288</v>
      </c>
      <c r="I44" s="18" t="s">
        <v>289</v>
      </c>
    </row>
    <row r="45" spans="1:9" ht="21.95" customHeight="1" x14ac:dyDescent="0.45">
      <c r="A45" s="79" t="s">
        <v>290</v>
      </c>
      <c r="B45" s="15" t="s">
        <v>51</v>
      </c>
      <c r="C45" s="17">
        <f>30*B5</f>
        <v>750</v>
      </c>
      <c r="D45" s="17">
        <f>C45*12</f>
        <v>9000</v>
      </c>
      <c r="E45" s="80">
        <f>IF(B12&gt;0,C45/(B12*B9),"—")</f>
        <v>6.8181818181818177E-2</v>
      </c>
      <c r="F45" s="18" t="s">
        <v>250</v>
      </c>
      <c r="G45" s="18" t="s">
        <v>291</v>
      </c>
      <c r="H45" s="18" t="s">
        <v>292</v>
      </c>
      <c r="I45" s="18" t="s">
        <v>252</v>
      </c>
    </row>
    <row r="46" spans="1:9" ht="21.95" customHeight="1" x14ac:dyDescent="0.45"/>
    <row r="47" spans="1:9" ht="21.95" customHeight="1" x14ac:dyDescent="0.45">
      <c r="A47" s="81" t="s">
        <v>293</v>
      </c>
      <c r="B47" s="30" t="s">
        <v>56</v>
      </c>
      <c r="C47" s="82">
        <v>1500</v>
      </c>
      <c r="D47" s="82">
        <f>C47*12</f>
        <v>18000</v>
      </c>
      <c r="E47" s="83">
        <f>IF(B12&gt;0,C47/(B12*B9),"—")</f>
        <v>0.13636363636363635</v>
      </c>
      <c r="F47" s="31" t="s">
        <v>294</v>
      </c>
      <c r="G47" s="31" t="s">
        <v>295</v>
      </c>
      <c r="H47" s="31" t="s">
        <v>296</v>
      </c>
      <c r="I47" s="31" t="s">
        <v>297</v>
      </c>
    </row>
    <row r="48" spans="1:9" ht="21.95" customHeight="1" x14ac:dyDescent="0.45">
      <c r="A48" s="91" t="s">
        <v>298</v>
      </c>
      <c r="B48" s="88"/>
      <c r="C48" s="88"/>
      <c r="D48" s="88"/>
      <c r="E48" s="88"/>
      <c r="F48" s="88"/>
      <c r="G48" s="88"/>
      <c r="H48" s="88"/>
      <c r="I48" s="88"/>
    </row>
    <row r="49" spans="1:9" ht="21.95" customHeight="1" x14ac:dyDescent="0.45"/>
    <row r="50" spans="1:9" ht="21.95" customHeight="1" x14ac:dyDescent="0.45">
      <c r="A50" s="89" t="s">
        <v>299</v>
      </c>
      <c r="B50" s="88"/>
      <c r="C50" s="88"/>
      <c r="D50" s="88"/>
      <c r="E50" s="88"/>
      <c r="F50" s="88"/>
      <c r="G50" s="88"/>
      <c r="H50" s="88"/>
      <c r="I50" s="88"/>
    </row>
    <row r="51" spans="1:9" ht="21.95" customHeight="1" x14ac:dyDescent="0.45">
      <c r="A51" s="87" t="s">
        <v>300</v>
      </c>
      <c r="B51" s="88"/>
      <c r="C51" s="88"/>
      <c r="D51" s="88"/>
      <c r="E51" s="88"/>
      <c r="F51" s="88"/>
      <c r="G51" s="88"/>
      <c r="H51" s="88"/>
      <c r="I51" s="88"/>
    </row>
    <row r="52" spans="1:9" ht="21.95" customHeight="1" x14ac:dyDescent="0.45">
      <c r="A52" s="8" t="s">
        <v>301</v>
      </c>
      <c r="B52" s="8" t="s">
        <v>302</v>
      </c>
      <c r="C52" s="8" t="s">
        <v>303</v>
      </c>
      <c r="D52" s="8" t="s">
        <v>304</v>
      </c>
      <c r="E52" s="8" t="s">
        <v>305</v>
      </c>
      <c r="F52" s="8" t="s">
        <v>306</v>
      </c>
      <c r="G52" s="8" t="s">
        <v>307</v>
      </c>
      <c r="H52" s="8" t="s">
        <v>308</v>
      </c>
      <c r="I52" s="8" t="s">
        <v>309</v>
      </c>
    </row>
    <row r="53" spans="1:9" ht="21.95" customHeight="1" x14ac:dyDescent="0.45">
      <c r="A53" s="59" t="s">
        <v>310</v>
      </c>
      <c r="B53" s="41">
        <f>C36</f>
        <v>85.8</v>
      </c>
      <c r="C53" s="41">
        <f>C43</f>
        <v>750</v>
      </c>
      <c r="D53" s="84" t="str">
        <f>IF(B53&lt;C53,"✅ API günstiger","👤 Abo günstiger")</f>
        <v>✅ API günstiger</v>
      </c>
      <c r="E53" s="85">
        <f>ABS(B53-C53)</f>
        <v>664.2</v>
      </c>
      <c r="F53" s="85">
        <f>E53*12</f>
        <v>7970.4000000000005</v>
      </c>
      <c r="G53" s="86">
        <f>30*1000000/(B7*(B8*3+(1-B8)*15)*B9)</f>
        <v>174.82517482517483</v>
      </c>
      <c r="H53" s="86">
        <f>B6</f>
        <v>20</v>
      </c>
      <c r="I53" s="84" t="str">
        <f>IF(H53&gt;G53,"→ API spart Geld","→ Abo ist besser")</f>
        <v>→ Abo ist besser</v>
      </c>
    </row>
    <row r="54" spans="1:9" ht="21.95" customHeight="1" x14ac:dyDescent="0.45">
      <c r="A54" s="59" t="s">
        <v>311</v>
      </c>
      <c r="B54" s="41">
        <f>C38</f>
        <v>73.150000000000006</v>
      </c>
      <c r="C54" s="41">
        <f>C42</f>
        <v>750</v>
      </c>
      <c r="D54" s="84" t="str">
        <f>IF(B54&lt;C54,"✅ API günstiger","👤 Abo günstiger")</f>
        <v>✅ API günstiger</v>
      </c>
      <c r="E54" s="85">
        <f>ABS(B54-C54)</f>
        <v>676.85</v>
      </c>
      <c r="F54" s="85">
        <f>E54*12</f>
        <v>8122.2000000000007</v>
      </c>
      <c r="G54" s="86">
        <f>30*1000000/(B7*(B8*1.75+(1-B8)*14)*B9)</f>
        <v>205.05809979494191</v>
      </c>
      <c r="H54" s="86">
        <f>B6</f>
        <v>20</v>
      </c>
      <c r="I54" s="84" t="str">
        <f>IF(H54&gt;G54,"→ API spart Geld","→ Abo ist besser")</f>
        <v>→ Abo ist besser</v>
      </c>
    </row>
    <row r="55" spans="1:9" ht="21.95" customHeight="1" x14ac:dyDescent="0.45">
      <c r="A55" s="59" t="s">
        <v>312</v>
      </c>
      <c r="B55" s="41">
        <f>C39</f>
        <v>52.25</v>
      </c>
      <c r="C55" s="41">
        <f>14*B5</f>
        <v>350</v>
      </c>
      <c r="D55" s="84" t="str">
        <f>IF(B55&lt;C55,"✅ API günstiger","👤 Abo günstiger")</f>
        <v>✅ API günstiger</v>
      </c>
      <c r="E55" s="85">
        <f>ABS(B55-C55)</f>
        <v>297.75</v>
      </c>
      <c r="F55" s="85">
        <f>E55*12</f>
        <v>3573</v>
      </c>
      <c r="G55" s="86">
        <f>14*1000000/(B7*(B8*1.25+(1-B8)*10)*B9)</f>
        <v>133.97129186602871</v>
      </c>
      <c r="H55" s="86">
        <f>B6</f>
        <v>20</v>
      </c>
      <c r="I55" s="84" t="str">
        <f>IF(H55&gt;G55,"→ API spart Geld","→ Abo ist besser")</f>
        <v>→ Abo ist besser</v>
      </c>
    </row>
    <row r="56" spans="1:9" ht="21.95" customHeight="1" x14ac:dyDescent="0.45">
      <c r="A56" s="59" t="s">
        <v>313</v>
      </c>
      <c r="B56" s="41">
        <f>C40</f>
        <v>10.45</v>
      </c>
      <c r="C56" s="41">
        <f>20*B5</f>
        <v>500</v>
      </c>
      <c r="D56" s="84" t="str">
        <f>IF(B56&lt;C56,"✅ API günstiger","👤 Abo günstiger")</f>
        <v>✅ API günstiger</v>
      </c>
      <c r="E56" s="85">
        <f>ABS(B56-C56)</f>
        <v>489.55</v>
      </c>
      <c r="F56" s="85">
        <f>E56*12</f>
        <v>5874.6</v>
      </c>
      <c r="G56" s="86">
        <f>20*1000000/(B7*(B8*0.25+(1-B8)*2)*B9)</f>
        <v>956.937799043062</v>
      </c>
      <c r="H56" s="86">
        <f>B6</f>
        <v>20</v>
      </c>
      <c r="I56" s="84" t="str">
        <f>IF(H56&gt;G56,"→ API spart Geld","→ Abo ist besser")</f>
        <v>→ Abo ist besser</v>
      </c>
    </row>
    <row r="57" spans="1:9" ht="21.95" customHeight="1" x14ac:dyDescent="0.45"/>
    <row r="58" spans="1:9" ht="21.95" customHeight="1" x14ac:dyDescent="0.45">
      <c r="A58" s="89" t="s">
        <v>314</v>
      </c>
      <c r="B58" s="88"/>
      <c r="C58" s="88"/>
      <c r="D58" s="88"/>
      <c r="E58" s="88"/>
      <c r="F58" s="88"/>
      <c r="G58" s="88"/>
      <c r="H58" s="88"/>
      <c r="I58" s="88"/>
    </row>
    <row r="59" spans="1:9" ht="21.95" customHeight="1" x14ac:dyDescent="0.45">
      <c r="A59" s="95" t="s">
        <v>315</v>
      </c>
      <c r="B59" s="88"/>
      <c r="C59" s="88"/>
      <c r="D59" s="88"/>
      <c r="E59" s="88"/>
      <c r="F59" s="88"/>
      <c r="G59" s="88"/>
      <c r="H59" s="88"/>
      <c r="I59" s="88"/>
    </row>
    <row r="60" spans="1:9" ht="21.95" customHeight="1" x14ac:dyDescent="0.45">
      <c r="A60" s="95" t="s">
        <v>316</v>
      </c>
      <c r="B60" s="88"/>
      <c r="C60" s="88"/>
      <c r="D60" s="88"/>
      <c r="E60" s="88"/>
      <c r="F60" s="88"/>
      <c r="G60" s="88"/>
      <c r="H60" s="88"/>
      <c r="I60" s="88"/>
    </row>
    <row r="61" spans="1:9" ht="21.95" customHeight="1" x14ac:dyDescent="0.45">
      <c r="A61" s="95" t="s">
        <v>317</v>
      </c>
      <c r="B61" s="88"/>
      <c r="C61" s="88"/>
      <c r="D61" s="88"/>
      <c r="E61" s="88"/>
      <c r="F61" s="88"/>
      <c r="G61" s="88"/>
      <c r="H61" s="88"/>
      <c r="I61" s="88"/>
    </row>
    <row r="62" spans="1:9" ht="21.95" customHeight="1" x14ac:dyDescent="0.45">
      <c r="A62" s="96" t="s">
        <v>318</v>
      </c>
      <c r="B62" s="88"/>
      <c r="C62" s="88"/>
      <c r="D62" s="88"/>
      <c r="E62" s="88"/>
      <c r="F62" s="88"/>
      <c r="G62" s="88"/>
      <c r="H62" s="88"/>
      <c r="I62" s="88"/>
    </row>
    <row r="63" spans="1:9" ht="21.95" customHeight="1" x14ac:dyDescent="0.45"/>
    <row r="64" spans="1:9" ht="21.95" customHeight="1" x14ac:dyDescent="0.45">
      <c r="A64" s="89" t="s">
        <v>319</v>
      </c>
      <c r="B64" s="88"/>
      <c r="C64" s="88"/>
      <c r="D64" s="88"/>
      <c r="E64" s="88"/>
      <c r="F64" s="88"/>
      <c r="G64" s="88"/>
      <c r="H64" s="88"/>
      <c r="I64" s="88"/>
    </row>
    <row r="65" spans="1:9" ht="21.95" customHeight="1" x14ac:dyDescent="0.45">
      <c r="A65" s="8" t="s">
        <v>140</v>
      </c>
      <c r="B65" s="8" t="s">
        <v>320</v>
      </c>
      <c r="C65" s="8" t="s">
        <v>321</v>
      </c>
      <c r="D65" s="8" t="s">
        <v>322</v>
      </c>
      <c r="E65" s="8" t="s">
        <v>50</v>
      </c>
      <c r="F65" s="8"/>
      <c r="G65" s="8"/>
      <c r="H65" s="8"/>
      <c r="I65" s="8"/>
    </row>
    <row r="66" spans="1:9" ht="36" customHeight="1" x14ac:dyDescent="0.45">
      <c r="A66" s="40" t="s">
        <v>323</v>
      </c>
      <c r="B66" s="13" t="s">
        <v>324</v>
      </c>
      <c r="C66" s="18" t="s">
        <v>325</v>
      </c>
      <c r="D66" s="31" t="s">
        <v>326</v>
      </c>
      <c r="E66" s="42" t="s">
        <v>327</v>
      </c>
    </row>
    <row r="67" spans="1:9" ht="36" customHeight="1" x14ac:dyDescent="0.45">
      <c r="A67" s="40" t="s">
        <v>328</v>
      </c>
      <c r="B67" s="13" t="s">
        <v>329</v>
      </c>
      <c r="C67" s="18" t="s">
        <v>330</v>
      </c>
      <c r="D67" s="31" t="s">
        <v>331</v>
      </c>
      <c r="E67" s="42" t="s">
        <v>332</v>
      </c>
    </row>
    <row r="68" spans="1:9" ht="36" customHeight="1" x14ac:dyDescent="0.45">
      <c r="A68" s="40" t="s">
        <v>333</v>
      </c>
      <c r="B68" s="13" t="s">
        <v>334</v>
      </c>
      <c r="C68" s="18" t="s">
        <v>335</v>
      </c>
      <c r="D68" s="31" t="s">
        <v>336</v>
      </c>
      <c r="E68" s="42" t="s">
        <v>335</v>
      </c>
    </row>
    <row r="69" spans="1:9" ht="36" customHeight="1" x14ac:dyDescent="0.45">
      <c r="A69" s="40" t="s">
        <v>337</v>
      </c>
      <c r="B69" s="13" t="s">
        <v>338</v>
      </c>
      <c r="C69" s="18" t="s">
        <v>339</v>
      </c>
      <c r="D69" s="31" t="s">
        <v>340</v>
      </c>
      <c r="E69" s="42" t="s">
        <v>340</v>
      </c>
    </row>
    <row r="70" spans="1:9" ht="36" customHeight="1" x14ac:dyDescent="0.45">
      <c r="A70" s="40" t="s">
        <v>168</v>
      </c>
      <c r="B70" s="13" t="s">
        <v>341</v>
      </c>
      <c r="C70" s="18" t="s">
        <v>342</v>
      </c>
      <c r="D70" s="31" t="s">
        <v>343</v>
      </c>
      <c r="E70" s="42" t="s">
        <v>344</v>
      </c>
    </row>
    <row r="71" spans="1:9" ht="36" customHeight="1" x14ac:dyDescent="0.45">
      <c r="A71" s="40" t="s">
        <v>345</v>
      </c>
      <c r="B71" s="13" t="s">
        <v>346</v>
      </c>
      <c r="C71" s="18" t="s">
        <v>347</v>
      </c>
      <c r="D71" s="31" t="s">
        <v>294</v>
      </c>
      <c r="E71" s="42" t="s">
        <v>348</v>
      </c>
    </row>
    <row r="72" spans="1:9" ht="36" customHeight="1" x14ac:dyDescent="0.45">
      <c r="A72" s="40" t="s">
        <v>349</v>
      </c>
      <c r="B72" s="13" t="s">
        <v>350</v>
      </c>
      <c r="C72" s="18" t="s">
        <v>283</v>
      </c>
      <c r="D72" s="31" t="s">
        <v>296</v>
      </c>
      <c r="E72" s="42" t="s">
        <v>292</v>
      </c>
    </row>
    <row r="73" spans="1:9" ht="36" customHeight="1" x14ac:dyDescent="0.45">
      <c r="A73" s="40" t="s">
        <v>351</v>
      </c>
      <c r="B73" s="13" t="s">
        <v>352</v>
      </c>
      <c r="C73" s="18" t="s">
        <v>156</v>
      </c>
      <c r="D73" s="31" t="s">
        <v>353</v>
      </c>
      <c r="E73" s="42" t="s">
        <v>354</v>
      </c>
    </row>
    <row r="74" spans="1:9" ht="36" customHeight="1" x14ac:dyDescent="0.45">
      <c r="A74" s="40" t="s">
        <v>355</v>
      </c>
      <c r="B74" s="13" t="s">
        <v>356</v>
      </c>
      <c r="C74" s="18" t="s">
        <v>357</v>
      </c>
      <c r="D74" s="31" t="s">
        <v>358</v>
      </c>
      <c r="E74" s="42" t="s">
        <v>359</v>
      </c>
    </row>
    <row r="75" spans="1:9" ht="36" customHeight="1" x14ac:dyDescent="0.45">
      <c r="A75" s="76" t="s">
        <v>360</v>
      </c>
      <c r="B75" s="13" t="s">
        <v>361</v>
      </c>
      <c r="C75" s="18" t="s">
        <v>362</v>
      </c>
      <c r="D75" s="31" t="s">
        <v>363</v>
      </c>
      <c r="E75" s="42" t="s">
        <v>364</v>
      </c>
    </row>
    <row r="76" spans="1:9" ht="21.95" customHeight="1" x14ac:dyDescent="0.45"/>
    <row r="77" spans="1:9" ht="21.95" customHeight="1" x14ac:dyDescent="0.45">
      <c r="A77" s="89" t="s">
        <v>365</v>
      </c>
      <c r="B77" s="88"/>
      <c r="C77" s="88"/>
      <c r="D77" s="88"/>
      <c r="E77" s="88"/>
      <c r="F77" s="88"/>
      <c r="G77" s="88"/>
      <c r="H77" s="88"/>
      <c r="I77" s="88"/>
    </row>
    <row r="78" spans="1:9" ht="21.95" customHeight="1" x14ac:dyDescent="0.45">
      <c r="A78" s="95" t="s">
        <v>366</v>
      </c>
      <c r="B78" s="88"/>
      <c r="C78" s="88"/>
      <c r="D78" s="88"/>
      <c r="E78" s="88"/>
      <c r="F78" s="88"/>
      <c r="G78" s="88"/>
      <c r="H78" s="88"/>
      <c r="I78" s="88"/>
    </row>
    <row r="79" spans="1:9" ht="21.95" customHeight="1" x14ac:dyDescent="0.45">
      <c r="A79" s="95" t="s">
        <v>367</v>
      </c>
      <c r="B79" s="88"/>
      <c r="C79" s="88"/>
      <c r="D79" s="88"/>
      <c r="E79" s="88"/>
      <c r="F79" s="88"/>
      <c r="G79" s="88"/>
      <c r="H79" s="88"/>
      <c r="I79" s="88"/>
    </row>
    <row r="80" spans="1:9" ht="21.95" customHeight="1" x14ac:dyDescent="0.45">
      <c r="A80" s="95" t="s">
        <v>368</v>
      </c>
      <c r="B80" s="88"/>
      <c r="C80" s="88"/>
      <c r="D80" s="88"/>
      <c r="E80" s="88"/>
      <c r="F80" s="88"/>
      <c r="G80" s="88"/>
      <c r="H80" s="88"/>
      <c r="I80" s="88"/>
    </row>
    <row r="81" spans="1:9" ht="21.95" customHeight="1" x14ac:dyDescent="0.45">
      <c r="A81" s="95" t="s">
        <v>369</v>
      </c>
      <c r="B81" s="88"/>
      <c r="C81" s="88"/>
      <c r="D81" s="88"/>
      <c r="E81" s="88"/>
      <c r="F81" s="88"/>
      <c r="G81" s="88"/>
      <c r="H81" s="88"/>
      <c r="I81" s="88"/>
    </row>
    <row r="82" spans="1:9" ht="21.95" customHeight="1" x14ac:dyDescent="0.45">
      <c r="A82" s="93" t="s">
        <v>370</v>
      </c>
      <c r="B82" s="88"/>
      <c r="C82" s="88"/>
      <c r="D82" s="88"/>
      <c r="E82" s="88"/>
      <c r="F82" s="88"/>
      <c r="G82" s="88"/>
      <c r="H82" s="88"/>
      <c r="I82" s="88"/>
    </row>
    <row r="83" spans="1:9" ht="21.95" customHeight="1" x14ac:dyDescent="0.45"/>
    <row r="84" spans="1:9" ht="21.95" customHeight="1" x14ac:dyDescent="0.45">
      <c r="A84" s="91" t="s">
        <v>371</v>
      </c>
      <c r="B84" s="88"/>
      <c r="C84" s="88"/>
      <c r="D84" s="88"/>
      <c r="E84" s="88"/>
      <c r="F84" s="88"/>
      <c r="G84" s="88"/>
      <c r="H84" s="88"/>
      <c r="I84" s="88"/>
    </row>
    <row r="85" spans="1:9" ht="21.95" customHeight="1" x14ac:dyDescent="0.45"/>
    <row r="86" spans="1:9" ht="21.95" customHeight="1" x14ac:dyDescent="0.45"/>
    <row r="87" spans="1:9" ht="21.95" customHeight="1" x14ac:dyDescent="0.45"/>
    <row r="88" spans="1:9" ht="21.95" customHeight="1" x14ac:dyDescent="0.45"/>
    <row r="89" spans="1:9" ht="21.95" customHeight="1" x14ac:dyDescent="0.45"/>
    <row r="90" spans="1:9" ht="21.95" customHeight="1" x14ac:dyDescent="0.45"/>
    <row r="91" spans="1:9" ht="21.95" customHeight="1" x14ac:dyDescent="0.45"/>
    <row r="92" spans="1:9" ht="21.95" customHeight="1" x14ac:dyDescent="0.45"/>
    <row r="93" spans="1:9" ht="21.95" customHeight="1" x14ac:dyDescent="0.45"/>
    <row r="94" spans="1:9" ht="21.95" customHeight="1" x14ac:dyDescent="0.45"/>
    <row r="95" spans="1:9" ht="21.95" customHeight="1" x14ac:dyDescent="0.45"/>
    <row r="96" spans="1:9" ht="21.95" customHeight="1" x14ac:dyDescent="0.45"/>
    <row r="97" ht="21.95" customHeight="1" x14ac:dyDescent="0.45"/>
    <row r="98" ht="21.95" customHeight="1" x14ac:dyDescent="0.45"/>
    <row r="99" ht="21.95" customHeight="1" x14ac:dyDescent="0.45"/>
    <row r="100" ht="21.95" customHeight="1" x14ac:dyDescent="0.45"/>
    <row r="101" ht="21.95" customHeight="1" x14ac:dyDescent="0.45"/>
    <row r="102" ht="21.95" customHeight="1" x14ac:dyDescent="0.45"/>
    <row r="103" ht="21.95" customHeight="1" x14ac:dyDescent="0.45"/>
    <row r="104" ht="21.95" customHeight="1" x14ac:dyDescent="0.45"/>
    <row r="105" ht="21.95" customHeight="1" x14ac:dyDescent="0.45"/>
    <row r="106" ht="21.95" customHeight="1" x14ac:dyDescent="0.45"/>
    <row r="107" ht="21.95" customHeight="1" x14ac:dyDescent="0.45"/>
    <row r="108" ht="21.95" customHeight="1" x14ac:dyDescent="0.45"/>
    <row r="109" ht="21.95" customHeight="1" x14ac:dyDescent="0.45"/>
    <row r="110" ht="21.95" customHeight="1" x14ac:dyDescent="0.45"/>
    <row r="111" ht="21.95" customHeight="1" x14ac:dyDescent="0.45"/>
    <row r="112" ht="21.95" customHeight="1" x14ac:dyDescent="0.45"/>
    <row r="113" ht="21.95" customHeight="1" x14ac:dyDescent="0.45"/>
    <row r="114" ht="21.95" customHeight="1" x14ac:dyDescent="0.45"/>
    <row r="115" ht="21.95" customHeight="1" x14ac:dyDescent="0.45"/>
    <row r="116" ht="21.95" customHeight="1" x14ac:dyDescent="0.45"/>
    <row r="117" ht="21.95" customHeight="1" x14ac:dyDescent="0.45"/>
    <row r="118" ht="21.95" customHeight="1" x14ac:dyDescent="0.45"/>
    <row r="119" ht="21.95" customHeight="1" x14ac:dyDescent="0.45"/>
  </sheetData>
  <mergeCells count="24">
    <mergeCell ref="A84:I84"/>
    <mergeCell ref="A80:I80"/>
    <mergeCell ref="A50:I50"/>
    <mergeCell ref="A2:I2"/>
    <mergeCell ref="A33:I33"/>
    <mergeCell ref="A17:I17"/>
    <mergeCell ref="A4:I4"/>
    <mergeCell ref="A62:I62"/>
    <mergeCell ref="A81:I81"/>
    <mergeCell ref="A31:I31"/>
    <mergeCell ref="A58:I58"/>
    <mergeCell ref="A77:I77"/>
    <mergeCell ref="A34:I34"/>
    <mergeCell ref="A48:I48"/>
    <mergeCell ref="A64:I64"/>
    <mergeCell ref="A59:I59"/>
    <mergeCell ref="A82:I82"/>
    <mergeCell ref="A11:I11"/>
    <mergeCell ref="A51:I51"/>
    <mergeCell ref="A60:I60"/>
    <mergeCell ref="A1:I1"/>
    <mergeCell ref="A79:I79"/>
    <mergeCell ref="A61:I61"/>
    <mergeCell ref="A78:I7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6666"/>
  </sheetPr>
  <dimension ref="A1:A51"/>
  <sheetViews>
    <sheetView workbookViewId="0"/>
  </sheetViews>
  <sheetFormatPr baseColWidth="10" defaultColWidth="9.06640625" defaultRowHeight="14.25" x14ac:dyDescent="0.45"/>
  <cols>
    <col min="1" max="1" width="85" customWidth="1"/>
  </cols>
  <sheetData>
    <row r="1" spans="1:1" x14ac:dyDescent="0.45">
      <c r="A1" s="90" t="s">
        <v>372</v>
      </c>
    </row>
    <row r="3" spans="1:1" x14ac:dyDescent="0.45">
      <c r="A3" s="67"/>
    </row>
    <row r="4" spans="1:1" x14ac:dyDescent="0.45">
      <c r="A4" s="68" t="s">
        <v>373</v>
      </c>
    </row>
    <row r="5" spans="1:1" x14ac:dyDescent="0.45">
      <c r="A5" s="67"/>
    </row>
    <row r="6" spans="1:1" x14ac:dyDescent="0.45">
      <c r="A6" s="67" t="s">
        <v>374</v>
      </c>
    </row>
    <row r="7" spans="1:1" x14ac:dyDescent="0.45">
      <c r="A7" s="67" t="s">
        <v>375</v>
      </c>
    </row>
    <row r="8" spans="1:1" x14ac:dyDescent="0.45">
      <c r="A8" s="67" t="s">
        <v>376</v>
      </c>
    </row>
    <row r="9" spans="1:1" x14ac:dyDescent="0.45">
      <c r="A9" s="67" t="s">
        <v>377</v>
      </c>
    </row>
    <row r="10" spans="1:1" x14ac:dyDescent="0.45">
      <c r="A10" s="67" t="s">
        <v>378</v>
      </c>
    </row>
    <row r="11" spans="1:1" x14ac:dyDescent="0.45">
      <c r="A11" s="67" t="s">
        <v>379</v>
      </c>
    </row>
    <row r="12" spans="1:1" x14ac:dyDescent="0.45">
      <c r="A12" s="67" t="s">
        <v>380</v>
      </c>
    </row>
    <row r="13" spans="1:1" x14ac:dyDescent="0.45">
      <c r="A13" s="67"/>
    </row>
    <row r="14" spans="1:1" x14ac:dyDescent="0.45">
      <c r="A14" s="68" t="s">
        <v>381</v>
      </c>
    </row>
    <row r="15" spans="1:1" x14ac:dyDescent="0.45">
      <c r="A15" s="67" t="s">
        <v>382</v>
      </c>
    </row>
    <row r="16" spans="1:1" x14ac:dyDescent="0.45">
      <c r="A16" s="67" t="s">
        <v>383</v>
      </c>
    </row>
    <row r="17" spans="1:1" x14ac:dyDescent="0.45">
      <c r="A17" s="67" t="s">
        <v>384</v>
      </c>
    </row>
    <row r="18" spans="1:1" x14ac:dyDescent="0.45">
      <c r="A18" s="67" t="s">
        <v>385</v>
      </c>
    </row>
    <row r="19" spans="1:1" x14ac:dyDescent="0.45">
      <c r="A19" s="67"/>
    </row>
    <row r="20" spans="1:1" x14ac:dyDescent="0.45">
      <c r="A20" s="68" t="s">
        <v>386</v>
      </c>
    </row>
    <row r="21" spans="1:1" x14ac:dyDescent="0.45">
      <c r="A21" s="67" t="s">
        <v>387</v>
      </c>
    </row>
    <row r="22" spans="1:1" x14ac:dyDescent="0.45">
      <c r="A22" s="67" t="s">
        <v>388</v>
      </c>
    </row>
    <row r="23" spans="1:1" x14ac:dyDescent="0.45">
      <c r="A23" s="67" t="s">
        <v>389</v>
      </c>
    </row>
    <row r="24" spans="1:1" x14ac:dyDescent="0.45">
      <c r="A24" s="67" t="s">
        <v>390</v>
      </c>
    </row>
    <row r="25" spans="1:1" x14ac:dyDescent="0.45">
      <c r="A25" s="67"/>
    </row>
    <row r="26" spans="1:1" x14ac:dyDescent="0.45">
      <c r="A26" s="68" t="s">
        <v>391</v>
      </c>
    </row>
    <row r="27" spans="1:1" x14ac:dyDescent="0.45">
      <c r="A27" s="67" t="s">
        <v>392</v>
      </c>
    </row>
    <row r="28" spans="1:1" x14ac:dyDescent="0.45">
      <c r="A28" s="67" t="s">
        <v>393</v>
      </c>
    </row>
    <row r="29" spans="1:1" x14ac:dyDescent="0.45">
      <c r="A29" s="67" t="s">
        <v>394</v>
      </c>
    </row>
    <row r="30" spans="1:1" x14ac:dyDescent="0.45">
      <c r="A30" s="67" t="s">
        <v>395</v>
      </c>
    </row>
    <row r="31" spans="1:1" x14ac:dyDescent="0.45">
      <c r="A31" s="67"/>
    </row>
    <row r="32" spans="1:1" x14ac:dyDescent="0.45">
      <c r="A32" s="68" t="s">
        <v>396</v>
      </c>
    </row>
    <row r="33" spans="1:1" x14ac:dyDescent="0.45">
      <c r="A33" s="67" t="s">
        <v>397</v>
      </c>
    </row>
    <row r="34" spans="1:1" x14ac:dyDescent="0.45">
      <c r="A34" s="67" t="s">
        <v>398</v>
      </c>
    </row>
    <row r="35" spans="1:1" x14ac:dyDescent="0.45">
      <c r="A35" s="67" t="s">
        <v>399</v>
      </c>
    </row>
    <row r="36" spans="1:1" x14ac:dyDescent="0.45">
      <c r="A36" s="67" t="s">
        <v>400</v>
      </c>
    </row>
    <row r="37" spans="1:1" x14ac:dyDescent="0.45">
      <c r="A37" s="67"/>
    </row>
    <row r="38" spans="1:1" x14ac:dyDescent="0.45">
      <c r="A38" s="68" t="s">
        <v>401</v>
      </c>
    </row>
    <row r="39" spans="1:1" x14ac:dyDescent="0.45">
      <c r="A39" s="67" t="s">
        <v>402</v>
      </c>
    </row>
    <row r="40" spans="1:1" x14ac:dyDescent="0.45">
      <c r="A40" s="67" t="s">
        <v>403</v>
      </c>
    </row>
    <row r="41" spans="1:1" x14ac:dyDescent="0.45">
      <c r="A41" s="67" t="s">
        <v>404</v>
      </c>
    </row>
    <row r="42" spans="1:1" x14ac:dyDescent="0.45">
      <c r="A42" s="67" t="s">
        <v>405</v>
      </c>
    </row>
    <row r="43" spans="1:1" x14ac:dyDescent="0.45">
      <c r="A43" s="67" t="s">
        <v>406</v>
      </c>
    </row>
    <row r="44" spans="1:1" x14ac:dyDescent="0.45">
      <c r="A44" s="67" t="s">
        <v>407</v>
      </c>
    </row>
    <row r="45" spans="1:1" x14ac:dyDescent="0.45">
      <c r="A45" s="67"/>
    </row>
    <row r="46" spans="1:1" x14ac:dyDescent="0.45">
      <c r="A46" s="68" t="s">
        <v>408</v>
      </c>
    </row>
    <row r="47" spans="1:1" x14ac:dyDescent="0.45">
      <c r="A47" s="67" t="s">
        <v>409</v>
      </c>
    </row>
    <row r="48" spans="1:1" x14ac:dyDescent="0.45">
      <c r="A48" s="67" t="s">
        <v>410</v>
      </c>
    </row>
    <row r="49" spans="1:1" x14ac:dyDescent="0.45">
      <c r="A49" s="67" t="s">
        <v>411</v>
      </c>
    </row>
    <row r="50" spans="1:1" x14ac:dyDescent="0.45">
      <c r="A50" s="67"/>
    </row>
    <row r="51" spans="1:1" x14ac:dyDescent="0.45">
      <c r="A51" s="67" t="s">
        <v>412</v>
      </c>
    </row>
  </sheetData>
  <mergeCells count="1"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Token-Kostenrechner</vt:lpstr>
      <vt:lpstr>Modell-Kaskadierung</vt:lpstr>
      <vt:lpstr>TCO-Vergleich</vt:lpstr>
      <vt:lpstr>API vs. Abo vs. Plattform</vt:lpstr>
      <vt:lpstr>Anleitung</vt:lpstr>
      <vt:lpstr>'API vs. Abo vs. Plattform'!Druckbereich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Sascha Scheffler</cp:lastModifiedBy>
  <cp:revision/>
  <dcterms:created xsi:type="dcterms:W3CDTF">2026-02-08T12:08:07Z</dcterms:created>
  <dcterms:modified xsi:type="dcterms:W3CDTF">2026-02-24T14:08:28Z</dcterms:modified>
  <cp:category/>
  <cp:contentStatus/>
</cp:coreProperties>
</file>